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900" windowHeight="11760" activeTab="0"/>
  </bookViews>
  <sheets>
    <sheet name="Bepaling samenstelling" sheetId="1" r:id="rId1"/>
    <sheet name="Bronsterkte berekening" sheetId="2" r:id="rId2"/>
  </sheets>
  <definedNames/>
  <calcPr fullCalcOnLoad="1"/>
</workbook>
</file>

<file path=xl/comments2.xml><?xml version="1.0" encoding="utf-8"?>
<comments xmlns="http://schemas.openxmlformats.org/spreadsheetml/2006/main">
  <authors>
    <author>riedstrd</author>
  </authors>
  <commentList>
    <comment ref="E35" authorId="0">
      <text>
        <r>
          <rPr>
            <b/>
            <sz val="8"/>
            <rFont val="Tahoma"/>
            <family val="0"/>
          </rPr>
          <t xml:space="preserve">zie tabel 5 rekenmethode PGS-15 </t>
        </r>
      </text>
    </comment>
  </commentList>
</comments>
</file>

<file path=xl/sharedStrings.xml><?xml version="1.0" encoding="utf-8"?>
<sst xmlns="http://schemas.openxmlformats.org/spreadsheetml/2006/main" count="211" uniqueCount="110">
  <si>
    <t>Berekening bronsterkte toxische verbrandingsproducten</t>
  </si>
  <si>
    <t>Netto molecuulformule</t>
  </si>
  <si>
    <t>C</t>
  </si>
  <si>
    <t>H</t>
  </si>
  <si>
    <t>O</t>
  </si>
  <si>
    <t>Cl</t>
  </si>
  <si>
    <t>N</t>
  </si>
  <si>
    <t>S</t>
  </si>
  <si>
    <t>Molmassa op basis netto molecuulformule</t>
  </si>
  <si>
    <t>g/mol</t>
  </si>
  <si>
    <t>Fractie werkzame stof</t>
  </si>
  <si>
    <t>PAS OP BETREFT</t>
  </si>
  <si>
    <t>% oplossing</t>
  </si>
  <si>
    <t>Gemiddelde molmassa</t>
  </si>
  <si>
    <t>N naar NOx</t>
  </si>
  <si>
    <t>Max. brandsnelheid</t>
  </si>
  <si>
    <t>Zuurstofbehoefte</t>
  </si>
  <si>
    <t xml:space="preserve"> </t>
  </si>
  <si>
    <t>Brand-</t>
  </si>
  <si>
    <t>ventilatie-</t>
  </si>
  <si>
    <t>Volume</t>
  </si>
  <si>
    <t>Brandsnelheid</t>
  </si>
  <si>
    <t>brandsnelheid</t>
  </si>
  <si>
    <t>Resulterende</t>
  </si>
  <si>
    <t>Brand is:</t>
  </si>
  <si>
    <t>Bronsterkte</t>
  </si>
  <si>
    <t>oppervlak</t>
  </si>
  <si>
    <t>voud</t>
  </si>
  <si>
    <t>opslag</t>
  </si>
  <si>
    <t>opp. beperkt</t>
  </si>
  <si>
    <r>
      <t>NO</t>
    </r>
    <r>
      <rPr>
        <b/>
        <vertAlign val="subscript"/>
        <sz val="10"/>
        <rFont val="Arial"/>
        <family val="2"/>
      </rPr>
      <t>2</t>
    </r>
  </si>
  <si>
    <r>
      <t>SO</t>
    </r>
    <r>
      <rPr>
        <b/>
        <vertAlign val="subscript"/>
        <sz val="10"/>
        <rFont val="Arial"/>
        <family val="2"/>
      </rPr>
      <t>2</t>
    </r>
  </si>
  <si>
    <t>HCl</t>
  </si>
  <si>
    <t>(/uur)</t>
  </si>
  <si>
    <t>(kg/s)</t>
  </si>
  <si>
    <r>
      <t>kg/m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*s</t>
    </r>
  </si>
  <si>
    <r>
      <t>mol 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per mol product</t>
    </r>
  </si>
  <si>
    <r>
      <t>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beperkt</t>
    </r>
  </si>
  <si>
    <r>
      <t>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</si>
  <si>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</si>
  <si>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PGS-15 rekenmethodiek</t>
  </si>
  <si>
    <t>[g/mol]</t>
  </si>
  <si>
    <t>Stikstof</t>
  </si>
  <si>
    <t>Zwavel</t>
  </si>
  <si>
    <t>Chloor</t>
  </si>
  <si>
    <t>Gehalte [%]</t>
  </si>
  <si>
    <t>VG I</t>
  </si>
  <si>
    <t>VG II</t>
  </si>
  <si>
    <t>P</t>
  </si>
  <si>
    <t>fractie werkzame stof</t>
  </si>
  <si>
    <t>Berekening gemiddelde samenstelling van de opgeslagen stoffen</t>
  </si>
  <si>
    <t>Molmassa</t>
  </si>
  <si>
    <t>hoeveelheid</t>
  </si>
  <si>
    <t>% werkzame</t>
  </si>
  <si>
    <t>[ton]</t>
  </si>
  <si>
    <t>stof</t>
  </si>
  <si>
    <t>Ammonia 25%</t>
  </si>
  <si>
    <t>Dichlobenil</t>
  </si>
  <si>
    <t>Ethanol</t>
  </si>
  <si>
    <t>Ethoprophos</t>
  </si>
  <si>
    <t>TDI</t>
  </si>
  <si>
    <t>gemiddeld</t>
  </si>
  <si>
    <t>totaal</t>
  </si>
  <si>
    <t>ton</t>
  </si>
  <si>
    <r>
      <t>10</t>
    </r>
    <r>
      <rPr>
        <vertAlign val="superscript"/>
        <sz val="10"/>
        <color indexed="46"/>
        <rFont val="Arial"/>
        <family val="2"/>
      </rPr>
      <t>+6</t>
    </r>
    <r>
      <rPr>
        <sz val="10"/>
        <color indexed="46"/>
        <rFont val="Arial"/>
        <family val="2"/>
      </rPr>
      <t xml:space="preserve"> mol</t>
    </r>
  </si>
  <si>
    <t>Berekening bronsterkte onverbrande (zeer) toxische stoffen</t>
  </si>
  <si>
    <t>atoomgewicht</t>
  </si>
  <si>
    <t>percentage</t>
  </si>
  <si>
    <r>
      <t>Brandsnelheid B</t>
    </r>
    <r>
      <rPr>
        <vertAlign val="subscript"/>
        <sz val="10"/>
        <rFont val="Arial"/>
        <family val="2"/>
      </rPr>
      <t>max</t>
    </r>
  </si>
  <si>
    <r>
      <t>Brandsnelheid B</t>
    </r>
    <r>
      <rPr>
        <vertAlign val="subscript"/>
        <sz val="10"/>
        <rFont val="Arial"/>
        <family val="2"/>
      </rPr>
      <t>O2</t>
    </r>
  </si>
  <si>
    <t>oppervlakte beperkt</t>
  </si>
  <si>
    <t>zuurstof beperkt</t>
  </si>
  <si>
    <r>
      <t>brandsnelheid</t>
    </r>
    <r>
      <rPr>
        <vertAlign val="superscript"/>
        <sz val="10"/>
        <rFont val="Arial"/>
        <family val="2"/>
      </rPr>
      <t>#</t>
    </r>
  </si>
  <si>
    <r>
      <t>#: Min (B</t>
    </r>
    <r>
      <rPr>
        <vertAlign val="subscript"/>
        <sz val="8"/>
        <rFont val="Arial"/>
        <family val="2"/>
      </rPr>
      <t>max</t>
    </r>
    <r>
      <rPr>
        <sz val="8"/>
        <rFont val="Arial"/>
        <family val="2"/>
      </rPr>
      <t>,B</t>
    </r>
    <r>
      <rPr>
        <vertAlign val="subscript"/>
        <sz val="8"/>
        <rFont val="Arial"/>
        <family val="2"/>
      </rPr>
      <t>O2</t>
    </r>
    <r>
      <rPr>
        <sz val="8"/>
        <rFont val="Arial"/>
        <family val="2"/>
      </rPr>
      <t>)</t>
    </r>
  </si>
  <si>
    <r>
      <t xml:space="preserve">molmassa </t>
    </r>
    <r>
      <rPr>
        <sz val="8"/>
        <rFont val="Arial"/>
        <family val="2"/>
      </rPr>
      <t>[g/mol]</t>
    </r>
  </si>
  <si>
    <t>Bronsterkte [kg/s]</t>
  </si>
  <si>
    <r>
      <t>[10</t>
    </r>
    <r>
      <rPr>
        <b/>
        <vertAlign val="superscript"/>
        <sz val="10"/>
        <color indexed="46"/>
        <rFont val="Arial"/>
        <family val="2"/>
      </rPr>
      <t>+6</t>
    </r>
    <r>
      <rPr>
        <b/>
        <sz val="10"/>
        <color indexed="46"/>
        <rFont val="Arial"/>
        <family val="2"/>
      </rPr>
      <t xml:space="preserve"> mol]</t>
    </r>
  </si>
  <si>
    <t>aandeel</t>
  </si>
  <si>
    <t>totaal 'werkzame stof'</t>
  </si>
  <si>
    <t>klasse 2</t>
  </si>
  <si>
    <t>klasse 3</t>
  </si>
  <si>
    <t>klasse 6.1 vg I</t>
  </si>
  <si>
    <t>klasse 6.1 vg II</t>
  </si>
  <si>
    <t>overige</t>
  </si>
  <si>
    <t>gemiddelde brandsnelheid</t>
  </si>
  <si>
    <r>
      <t>kg/m</t>
    </r>
    <r>
      <rPr>
        <vertAlign val="superscript"/>
        <sz val="8"/>
        <color indexed="46"/>
        <rFont val="Arial"/>
        <family val="2"/>
      </rPr>
      <t>2</t>
    </r>
    <r>
      <rPr>
        <sz val="8"/>
        <color indexed="46"/>
        <rFont val="Arial"/>
        <family val="2"/>
      </rPr>
      <t>.s</t>
    </r>
  </si>
  <si>
    <t>Hoeveelheid C, H, O, Cl, N, S en P [ton]</t>
  </si>
  <si>
    <t>Hoeveelheid per ADR klasse [ton]</t>
  </si>
  <si>
    <t>keuzemogelijkheden</t>
  </si>
  <si>
    <t>ADR klasse</t>
  </si>
  <si>
    <t>klasse (2 en) 3</t>
  </si>
  <si>
    <t>keuzemogelijkheden survivalfractie</t>
  </si>
  <si>
    <t>toxische vloeistoffen en poeders</t>
  </si>
  <si>
    <t>overige toxische vaste stoffen (granulaat)</t>
  </si>
  <si>
    <t>aandeel toxische vloeistoffen en poeders</t>
  </si>
  <si>
    <t>ADR klasse 6.1</t>
  </si>
  <si>
    <t>verpakkingsgroep I</t>
  </si>
  <si>
    <t>verpakkingsgroep II</t>
  </si>
  <si>
    <t>Survivalfractie</t>
  </si>
  <si>
    <t>Rekenwaarde survivalfractie</t>
  </si>
  <si>
    <t>(massa)aandeel in opslag</t>
  </si>
  <si>
    <t>Aandeel ADR klasse (2 en) 3 =</t>
  </si>
  <si>
    <t>INSTRUCTIE: Alle donkerblauw gemarkeerde cellen moeten worden ingevuld (per ingevulde stof); de molmassa (lichtblauw) kan indien nodig worden gecorrigeerd</t>
  </si>
  <si>
    <t>BEREKENING</t>
  </si>
  <si>
    <t>INSTRUCTIE: Alle donkerblauw gemarkeerde cellen moeten worden ingevuld; de lichtblauwe kunnen - indien nodig - worden aangepast</t>
  </si>
  <si>
    <t xml:space="preserve">  Alleen voor ADR klasse 6.1 stoffen (verpakkingsgroep I en II)</t>
  </si>
  <si>
    <t>obv 7 elementen links</t>
  </si>
  <si>
    <t>o.b.v. C/H/O/Cl/N/S/P</t>
  </si>
  <si>
    <t>#: indien nodig aangepast voor andere aanwezige elementen dan C/H/O/Cl/N/S/P</t>
  </si>
  <si>
    <r>
      <t xml:space="preserve">gecorrigeerd </t>
    </r>
    <r>
      <rPr>
        <b/>
        <vertAlign val="superscript"/>
        <sz val="8"/>
        <color indexed="12"/>
        <rFont val="Arial"/>
        <family val="2"/>
      </rPr>
      <t>#</t>
    </r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</si>
</sst>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"/>
    <numFmt numFmtId="173" formatCode="0.0%"/>
    <numFmt numFmtId="174" formatCode="0.000"/>
    <numFmt numFmtId="175" formatCode="0.0000"/>
    <numFmt numFmtId="176" formatCode="0.0000000"/>
    <numFmt numFmtId="177" formatCode="0.000000"/>
    <numFmt numFmtId="178" formatCode="0.00000"/>
    <numFmt numFmtId="179" formatCode="[$-413]dddd\ d\ mmmm\ yyyy"/>
    <numFmt numFmtId="180" formatCode="[$-413]d\ mmmm\ yyyy;@"/>
  </numFmts>
  <fonts count="70">
    <font>
      <sz val="10"/>
      <name val="Times New Roman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sz val="8"/>
      <name val="Times New Roman"/>
      <family val="0"/>
    </font>
    <font>
      <b/>
      <sz val="12"/>
      <color indexed="9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sz val="16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46"/>
      <name val="Arial"/>
      <family val="2"/>
    </font>
    <font>
      <sz val="10"/>
      <color indexed="46"/>
      <name val="Times New Roman"/>
      <family val="0"/>
    </font>
    <font>
      <b/>
      <sz val="10"/>
      <color indexed="46"/>
      <name val="Arial"/>
      <family val="2"/>
    </font>
    <font>
      <vertAlign val="superscript"/>
      <sz val="10"/>
      <color indexed="46"/>
      <name val="Arial"/>
      <family val="2"/>
    </font>
    <font>
      <vertAlign val="subscript"/>
      <sz val="8"/>
      <name val="Arial"/>
      <family val="2"/>
    </font>
    <font>
      <sz val="8"/>
      <color indexed="46"/>
      <name val="Arial"/>
      <family val="2"/>
    </font>
    <font>
      <b/>
      <vertAlign val="superscript"/>
      <sz val="10"/>
      <color indexed="46"/>
      <name val="Arial"/>
      <family val="2"/>
    </font>
    <font>
      <b/>
      <sz val="8"/>
      <color indexed="46"/>
      <name val="Arial"/>
      <family val="2"/>
    </font>
    <font>
      <vertAlign val="superscript"/>
      <sz val="8"/>
      <color indexed="46"/>
      <name val="Arial"/>
      <family val="2"/>
    </font>
    <font>
      <b/>
      <sz val="10"/>
      <name val="Times New Roman"/>
      <family val="0"/>
    </font>
    <font>
      <u val="single"/>
      <sz val="8"/>
      <color indexed="46"/>
      <name val="Arial"/>
      <family val="2"/>
    </font>
    <font>
      <b/>
      <sz val="8"/>
      <name val="Arial"/>
      <family val="2"/>
    </font>
    <font>
      <b/>
      <sz val="8"/>
      <name val="Tahoma"/>
      <family val="0"/>
    </font>
    <font>
      <b/>
      <sz val="12"/>
      <color indexed="46"/>
      <name val="Arial"/>
      <family val="2"/>
    </font>
    <font>
      <sz val="12"/>
      <color indexed="10"/>
      <name val="Arial"/>
      <family val="2"/>
    </font>
    <font>
      <sz val="8"/>
      <color indexed="22"/>
      <name val="Arial"/>
      <family val="2"/>
    </font>
    <font>
      <sz val="10"/>
      <color indexed="10"/>
      <name val="Arial"/>
      <family val="2"/>
    </font>
    <font>
      <b/>
      <sz val="8"/>
      <color indexed="12"/>
      <name val="Arial"/>
      <family val="2"/>
    </font>
    <font>
      <b/>
      <vertAlign val="superscript"/>
      <sz val="8"/>
      <color indexed="12"/>
      <name val="Arial"/>
      <family val="2"/>
    </font>
    <font>
      <sz val="8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8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b/>
      <sz val="8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2" fillId="34" borderId="12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9" fillId="34" borderId="14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/>
      <protection/>
    </xf>
    <xf numFmtId="0" fontId="9" fillId="34" borderId="12" xfId="0" applyFont="1" applyFill="1" applyBorder="1" applyAlignment="1" applyProtection="1">
      <alignment/>
      <protection/>
    </xf>
    <xf numFmtId="0" fontId="2" fillId="34" borderId="14" xfId="0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center"/>
      <protection/>
    </xf>
    <xf numFmtId="0" fontId="9" fillId="34" borderId="14" xfId="0" applyFont="1" applyFill="1" applyBorder="1" applyAlignment="1" applyProtection="1">
      <alignment horizontal="left"/>
      <protection/>
    </xf>
    <xf numFmtId="2" fontId="9" fillId="34" borderId="0" xfId="0" applyNumberFormat="1" applyFont="1" applyFill="1" applyBorder="1" applyAlignment="1" applyProtection="1">
      <alignment/>
      <protection/>
    </xf>
    <xf numFmtId="0" fontId="2" fillId="34" borderId="13" xfId="0" applyFont="1" applyFill="1" applyBorder="1" applyAlignment="1" applyProtection="1">
      <alignment horizontal="center"/>
      <protection/>
    </xf>
    <xf numFmtId="0" fontId="2" fillId="34" borderId="15" xfId="0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/>
      <protection/>
    </xf>
    <xf numFmtId="0" fontId="9" fillId="34" borderId="13" xfId="0" applyFont="1" applyFill="1" applyBorder="1" applyAlignment="1" applyProtection="1">
      <alignment horizontal="left"/>
      <protection/>
    </xf>
    <xf numFmtId="0" fontId="9" fillId="34" borderId="10" xfId="0" applyFont="1" applyFill="1" applyBorder="1" applyAlignment="1" applyProtection="1">
      <alignment/>
      <protection/>
    </xf>
    <xf numFmtId="0" fontId="9" fillId="34" borderId="10" xfId="0" applyFont="1" applyFill="1" applyBorder="1" applyAlignment="1" applyProtection="1">
      <alignment horizontal="left"/>
      <protection/>
    </xf>
    <xf numFmtId="0" fontId="2" fillId="34" borderId="13" xfId="0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/>
      <protection/>
    </xf>
    <xf numFmtId="0" fontId="2" fillId="34" borderId="16" xfId="0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 applyProtection="1">
      <alignment horizontal="left"/>
      <protection/>
    </xf>
    <xf numFmtId="0" fontId="9" fillId="34" borderId="14" xfId="0" applyFont="1" applyFill="1" applyBorder="1" applyAlignment="1" applyProtection="1">
      <alignment horizontal="center"/>
      <protection/>
    </xf>
    <xf numFmtId="0" fontId="9" fillId="34" borderId="16" xfId="0" applyFont="1" applyFill="1" applyBorder="1" applyAlignment="1" applyProtection="1">
      <alignment horizontal="center"/>
      <protection/>
    </xf>
    <xf numFmtId="0" fontId="9" fillId="34" borderId="12" xfId="0" applyFont="1" applyFill="1" applyBorder="1" applyAlignment="1" applyProtection="1">
      <alignment horizontal="center"/>
      <protection/>
    </xf>
    <xf numFmtId="0" fontId="9" fillId="34" borderId="17" xfId="0" applyFont="1" applyFill="1" applyBorder="1" applyAlignment="1" applyProtection="1">
      <alignment/>
      <protection/>
    </xf>
    <xf numFmtId="0" fontId="9" fillId="34" borderId="18" xfId="0" applyFont="1" applyFill="1" applyBorder="1" applyAlignment="1" applyProtection="1">
      <alignment/>
      <protection/>
    </xf>
    <xf numFmtId="0" fontId="9" fillId="34" borderId="17" xfId="0" applyFont="1" applyFill="1" applyBorder="1" applyAlignment="1" applyProtection="1">
      <alignment horizontal="left"/>
      <protection/>
    </xf>
    <xf numFmtId="0" fontId="9" fillId="34" borderId="19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right"/>
      <protection/>
    </xf>
    <xf numFmtId="0" fontId="10" fillId="34" borderId="0" xfId="0" applyFont="1" applyFill="1" applyBorder="1" applyAlignment="1" applyProtection="1">
      <alignment/>
      <protection/>
    </xf>
    <xf numFmtId="0" fontId="11" fillId="35" borderId="0" xfId="0" applyFont="1" applyFill="1" applyAlignment="1">
      <alignment/>
    </xf>
    <xf numFmtId="0" fontId="9" fillId="35" borderId="0" xfId="0" applyFont="1" applyFill="1" applyAlignment="1">
      <alignment/>
    </xf>
    <xf numFmtId="2" fontId="9" fillId="34" borderId="17" xfId="0" applyNumberFormat="1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center"/>
      <protection/>
    </xf>
    <xf numFmtId="0" fontId="9" fillId="34" borderId="20" xfId="0" applyFont="1" applyFill="1" applyBorder="1" applyAlignment="1" applyProtection="1">
      <alignment/>
      <protection locked="0"/>
    </xf>
    <xf numFmtId="0" fontId="9" fillId="34" borderId="14" xfId="0" applyFont="1" applyFill="1" applyBorder="1" applyAlignment="1" applyProtection="1">
      <alignment horizontal="right"/>
      <protection/>
    </xf>
    <xf numFmtId="0" fontId="9" fillId="34" borderId="14" xfId="0" applyFont="1" applyFill="1" applyBorder="1" applyAlignment="1">
      <alignment/>
    </xf>
    <xf numFmtId="0" fontId="9" fillId="34" borderId="0" xfId="0" applyFont="1" applyFill="1" applyAlignment="1">
      <alignment horizontal="right"/>
    </xf>
    <xf numFmtId="0" fontId="9" fillId="34" borderId="0" xfId="0" applyFont="1" applyFill="1" applyBorder="1" applyAlignment="1">
      <alignment horizontal="right"/>
    </xf>
    <xf numFmtId="0" fontId="9" fillId="34" borderId="20" xfId="0" applyFont="1" applyFill="1" applyBorder="1" applyAlignment="1" applyProtection="1">
      <alignment horizontal="right"/>
      <protection/>
    </xf>
    <xf numFmtId="172" fontId="9" fillId="34" borderId="0" xfId="0" applyNumberFormat="1" applyFont="1" applyFill="1" applyBorder="1" applyAlignment="1" applyProtection="1">
      <alignment/>
      <protection/>
    </xf>
    <xf numFmtId="2" fontId="9" fillId="34" borderId="14" xfId="0" applyNumberFormat="1" applyFont="1" applyFill="1" applyBorder="1" applyAlignment="1" applyProtection="1">
      <alignment/>
      <protection/>
    </xf>
    <xf numFmtId="2" fontId="9" fillId="34" borderId="18" xfId="0" applyNumberFormat="1" applyFont="1" applyFill="1" applyBorder="1" applyAlignment="1" applyProtection="1">
      <alignment/>
      <protection/>
    </xf>
    <xf numFmtId="174" fontId="9" fillId="0" borderId="20" xfId="0" applyNumberFormat="1" applyFont="1" applyFill="1" applyBorder="1" applyAlignment="1" applyProtection="1">
      <alignment/>
      <protection/>
    </xf>
    <xf numFmtId="0" fontId="2" fillId="0" borderId="20" xfId="0" applyFont="1" applyFill="1" applyBorder="1" applyAlignment="1" applyProtection="1">
      <alignment horizontal="right"/>
      <protection/>
    </xf>
    <xf numFmtId="0" fontId="2" fillId="34" borderId="12" xfId="0" applyFont="1" applyFill="1" applyBorder="1" applyAlignment="1" applyProtection="1">
      <alignment/>
      <protection/>
    </xf>
    <xf numFmtId="0" fontId="2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0" fontId="2" fillId="34" borderId="12" xfId="0" applyFont="1" applyFill="1" applyBorder="1" applyAlignment="1">
      <alignment horizontal="right"/>
    </xf>
    <xf numFmtId="0" fontId="9" fillId="34" borderId="0" xfId="0" applyFont="1" applyFill="1" applyBorder="1" applyAlignment="1" applyProtection="1">
      <alignment/>
      <protection/>
    </xf>
    <xf numFmtId="2" fontId="9" fillId="34" borderId="13" xfId="0" applyNumberFormat="1" applyFont="1" applyFill="1" applyBorder="1" applyAlignment="1" applyProtection="1">
      <alignment/>
      <protection/>
    </xf>
    <xf numFmtId="2" fontId="9" fillId="34" borderId="10" xfId="0" applyNumberFormat="1" applyFont="1" applyFill="1" applyBorder="1" applyAlignment="1" applyProtection="1">
      <alignment/>
      <protection/>
    </xf>
    <xf numFmtId="0" fontId="9" fillId="34" borderId="11" xfId="0" applyFont="1" applyFill="1" applyBorder="1" applyAlignment="1" applyProtection="1">
      <alignment/>
      <protection/>
    </xf>
    <xf numFmtId="0" fontId="9" fillId="34" borderId="0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9" fillId="34" borderId="18" xfId="0" applyFont="1" applyFill="1" applyBorder="1" applyAlignment="1">
      <alignment/>
    </xf>
    <xf numFmtId="0" fontId="9" fillId="34" borderId="17" xfId="0" applyFont="1" applyFill="1" applyBorder="1" applyAlignment="1">
      <alignment/>
    </xf>
    <xf numFmtId="0" fontId="9" fillId="34" borderId="19" xfId="0" applyFont="1" applyFill="1" applyBorder="1" applyAlignment="1">
      <alignment/>
    </xf>
    <xf numFmtId="172" fontId="2" fillId="34" borderId="0" xfId="0" applyNumberFormat="1" applyFont="1" applyFill="1" applyBorder="1" applyAlignment="1" applyProtection="1">
      <alignment/>
      <protection/>
    </xf>
    <xf numFmtId="0" fontId="2" fillId="34" borderId="14" xfId="0" applyFont="1" applyFill="1" applyBorder="1" applyAlignment="1">
      <alignment horizontal="right"/>
    </xf>
    <xf numFmtId="174" fontId="9" fillId="0" borderId="20" xfId="0" applyNumberFormat="1" applyFont="1" applyBorder="1" applyAlignment="1">
      <alignment/>
    </xf>
    <xf numFmtId="0" fontId="0" fillId="0" borderId="0" xfId="0" applyFont="1" applyAlignment="1">
      <alignment/>
    </xf>
    <xf numFmtId="0" fontId="12" fillId="34" borderId="11" xfId="0" applyFont="1" applyFill="1" applyBorder="1" applyAlignment="1">
      <alignment horizontal="right"/>
    </xf>
    <xf numFmtId="0" fontId="2" fillId="34" borderId="0" xfId="0" applyFont="1" applyFill="1" applyBorder="1" applyAlignment="1">
      <alignment/>
    </xf>
    <xf numFmtId="0" fontId="9" fillId="34" borderId="0" xfId="0" applyFont="1" applyFill="1" applyAlignment="1">
      <alignment/>
    </xf>
    <xf numFmtId="9" fontId="9" fillId="34" borderId="0" xfId="0" applyNumberFormat="1" applyFont="1" applyFill="1" applyBorder="1" applyAlignment="1">
      <alignment/>
    </xf>
    <xf numFmtId="0" fontId="13" fillId="34" borderId="0" xfId="0" applyFont="1" applyFill="1" applyAlignment="1">
      <alignment/>
    </xf>
    <xf numFmtId="0" fontId="9" fillId="0" borderId="0" xfId="0" applyFont="1" applyAlignment="1">
      <alignment horizontal="right"/>
    </xf>
    <xf numFmtId="0" fontId="2" fillId="34" borderId="20" xfId="0" applyFont="1" applyFill="1" applyBorder="1" applyAlignment="1">
      <alignment horizontal="right"/>
    </xf>
    <xf numFmtId="2" fontId="14" fillId="34" borderId="0" xfId="0" applyNumberFormat="1" applyFont="1" applyFill="1" applyAlignment="1">
      <alignment/>
    </xf>
    <xf numFmtId="0" fontId="0" fillId="34" borderId="0" xfId="0" applyFill="1" applyAlignment="1">
      <alignment/>
    </xf>
    <xf numFmtId="174" fontId="14" fillId="34" borderId="0" xfId="0" applyNumberFormat="1" applyFont="1" applyFill="1" applyAlignment="1">
      <alignment/>
    </xf>
    <xf numFmtId="0" fontId="9" fillId="34" borderId="0" xfId="0" applyFont="1" applyFill="1" applyAlignment="1">
      <alignment horizontal="center"/>
    </xf>
    <xf numFmtId="1" fontId="9" fillId="34" borderId="0" xfId="0" applyNumberFormat="1" applyFont="1" applyFill="1" applyBorder="1" applyAlignment="1">
      <alignment/>
    </xf>
    <xf numFmtId="1" fontId="9" fillId="0" borderId="0" xfId="0" applyNumberFormat="1" applyFont="1" applyBorder="1" applyAlignment="1">
      <alignment/>
    </xf>
    <xf numFmtId="1" fontId="9" fillId="0" borderId="0" xfId="0" applyNumberFormat="1" applyFont="1" applyAlignment="1">
      <alignment/>
    </xf>
    <xf numFmtId="0" fontId="0" fillId="34" borderId="0" xfId="0" applyFill="1" applyBorder="1" applyAlignment="1">
      <alignment/>
    </xf>
    <xf numFmtId="1" fontId="2" fillId="34" borderId="0" xfId="0" applyNumberFormat="1" applyFont="1" applyFill="1" applyBorder="1" applyAlignment="1">
      <alignment/>
    </xf>
    <xf numFmtId="173" fontId="2" fillId="34" borderId="0" xfId="57" applyNumberFormat="1" applyFont="1" applyFill="1" applyBorder="1" applyAlignment="1">
      <alignment/>
    </xf>
    <xf numFmtId="173" fontId="9" fillId="34" borderId="0" xfId="0" applyNumberFormat="1" applyFont="1" applyFill="1" applyAlignment="1">
      <alignment/>
    </xf>
    <xf numFmtId="0" fontId="15" fillId="0" borderId="0" xfId="0" applyFont="1" applyFill="1" applyBorder="1" applyAlignment="1">
      <alignment/>
    </xf>
    <xf numFmtId="173" fontId="15" fillId="0" borderId="0" xfId="57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172" fontId="15" fillId="0" borderId="0" xfId="0" applyNumberFormat="1" applyFont="1" applyFill="1" applyBorder="1" applyAlignment="1">
      <alignment/>
    </xf>
    <xf numFmtId="172" fontId="17" fillId="0" borderId="0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9" fillId="0" borderId="0" xfId="0" applyNumberFormat="1" applyFont="1" applyAlignment="1">
      <alignment/>
    </xf>
    <xf numFmtId="0" fontId="15" fillId="0" borderId="0" xfId="0" applyFont="1" applyFill="1" applyBorder="1" applyAlignment="1">
      <alignment horizontal="right"/>
    </xf>
    <xf numFmtId="0" fontId="14" fillId="34" borderId="0" xfId="0" applyFont="1" applyFill="1" applyAlignment="1">
      <alignment horizontal="right"/>
    </xf>
    <xf numFmtId="0" fontId="14" fillId="34" borderId="0" xfId="0" applyFont="1" applyFill="1" applyBorder="1" applyAlignment="1" applyProtection="1">
      <alignment horizontal="right"/>
      <protection/>
    </xf>
    <xf numFmtId="2" fontId="14" fillId="34" borderId="20" xfId="0" applyNumberFormat="1" applyFont="1" applyFill="1" applyBorder="1" applyAlignment="1" applyProtection="1">
      <alignment horizontal="right"/>
      <protection/>
    </xf>
    <xf numFmtId="2" fontId="14" fillId="34" borderId="0" xfId="0" applyNumberFormat="1" applyFont="1" applyFill="1" applyBorder="1" applyAlignment="1" applyProtection="1">
      <alignment horizontal="right"/>
      <protection/>
    </xf>
    <xf numFmtId="1" fontId="15" fillId="0" borderId="0" xfId="0" applyNumberFormat="1" applyFont="1" applyFill="1" applyBorder="1" applyAlignment="1">
      <alignment/>
    </xf>
    <xf numFmtId="9" fontId="15" fillId="0" borderId="0" xfId="57" applyFont="1" applyFill="1" applyBorder="1" applyAlignment="1">
      <alignment/>
    </xf>
    <xf numFmtId="174" fontId="22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2" fontId="2" fillId="34" borderId="0" xfId="0" applyNumberFormat="1" applyFont="1" applyFill="1" applyAlignment="1">
      <alignment/>
    </xf>
    <xf numFmtId="172" fontId="9" fillId="36" borderId="20" xfId="0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2" fontId="14" fillId="34" borderId="0" xfId="0" applyNumberFormat="1" applyFont="1" applyFill="1" applyAlignment="1">
      <alignment horizontal="right"/>
    </xf>
    <xf numFmtId="0" fontId="15" fillId="0" borderId="0" xfId="0" applyFont="1" applyAlignment="1">
      <alignment horizontal="right"/>
    </xf>
    <xf numFmtId="1" fontId="14" fillId="34" borderId="0" xfId="0" applyNumberFormat="1" applyFont="1" applyFill="1" applyBorder="1" applyAlignment="1">
      <alignment horizontal="right"/>
    </xf>
    <xf numFmtId="1" fontId="14" fillId="34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20" fillId="0" borderId="0" xfId="0" applyFont="1" applyAlignment="1">
      <alignment horizontal="right"/>
    </xf>
    <xf numFmtId="0" fontId="7" fillId="0" borderId="0" xfId="0" applyFont="1" applyAlignment="1">
      <alignment/>
    </xf>
    <xf numFmtId="1" fontId="20" fillId="0" borderId="0" xfId="0" applyNumberFormat="1" applyFont="1" applyFill="1" applyBorder="1" applyAlignment="1">
      <alignment horizontal="right"/>
    </xf>
    <xf numFmtId="174" fontId="20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22" fillId="0" borderId="0" xfId="0" applyNumberFormat="1" applyFont="1" applyAlignment="1">
      <alignment horizontal="right"/>
    </xf>
    <xf numFmtId="0" fontId="17" fillId="0" borderId="0" xfId="0" applyFont="1" applyFill="1" applyBorder="1" applyAlignment="1">
      <alignment/>
    </xf>
    <xf numFmtId="174" fontId="20" fillId="0" borderId="0" xfId="0" applyNumberFormat="1" applyFont="1" applyAlignment="1">
      <alignment horizontal="right"/>
    </xf>
    <xf numFmtId="174" fontId="22" fillId="0" borderId="0" xfId="0" applyNumberFormat="1" applyFont="1" applyAlignment="1">
      <alignment horizontal="left"/>
    </xf>
    <xf numFmtId="9" fontId="20" fillId="0" borderId="0" xfId="57" applyFont="1" applyFill="1" applyBorder="1" applyAlignment="1">
      <alignment horizontal="right"/>
    </xf>
    <xf numFmtId="9" fontId="22" fillId="0" borderId="0" xfId="57" applyFont="1" applyFill="1" applyBorder="1" applyAlignment="1">
      <alignment horizontal="right"/>
    </xf>
    <xf numFmtId="9" fontId="24" fillId="0" borderId="0" xfId="57" applyFont="1" applyAlignment="1">
      <alignment/>
    </xf>
    <xf numFmtId="0" fontId="25" fillId="0" borderId="0" xfId="0" applyFont="1" applyAlignment="1">
      <alignment horizontal="right"/>
    </xf>
    <xf numFmtId="2" fontId="2" fillId="34" borderId="0" xfId="0" applyNumberFormat="1" applyFont="1" applyFill="1" applyAlignment="1">
      <alignment horizontal="right"/>
    </xf>
    <xf numFmtId="9" fontId="14" fillId="34" borderId="0" xfId="57" applyFont="1" applyFill="1" applyAlignment="1">
      <alignment horizontal="right"/>
    </xf>
    <xf numFmtId="9" fontId="26" fillId="34" borderId="0" xfId="57" applyFont="1" applyFill="1" applyBorder="1" applyAlignment="1">
      <alignment/>
    </xf>
    <xf numFmtId="9" fontId="26" fillId="34" borderId="0" xfId="0" applyNumberFormat="1" applyFont="1" applyFill="1" applyAlignment="1">
      <alignment/>
    </xf>
    <xf numFmtId="9" fontId="16" fillId="0" borderId="0" xfId="57" applyNumberFormat="1" applyFont="1" applyAlignment="1">
      <alignment/>
    </xf>
    <xf numFmtId="9" fontId="0" fillId="0" borderId="0" xfId="0" applyNumberFormat="1" applyAlignment="1">
      <alignment/>
    </xf>
    <xf numFmtId="173" fontId="9" fillId="34" borderId="20" xfId="57" applyNumberFormat="1" applyFont="1" applyFill="1" applyBorder="1" applyAlignment="1" applyProtection="1">
      <alignment/>
      <protection/>
    </xf>
    <xf numFmtId="9" fontId="14" fillId="34" borderId="0" xfId="0" applyNumberFormat="1" applyFont="1" applyFill="1" applyBorder="1" applyAlignment="1" applyProtection="1">
      <alignment horizontal="left"/>
      <protection/>
    </xf>
    <xf numFmtId="0" fontId="14" fillId="34" borderId="14" xfId="0" applyFont="1" applyFill="1" applyBorder="1" applyAlignment="1">
      <alignment horizontal="right"/>
    </xf>
    <xf numFmtId="2" fontId="14" fillId="34" borderId="0" xfId="0" applyNumberFormat="1" applyFont="1" applyFill="1" applyBorder="1" applyAlignment="1">
      <alignment horizontal="center"/>
    </xf>
    <xf numFmtId="174" fontId="14" fillId="34" borderId="0" xfId="0" applyNumberFormat="1" applyFont="1" applyFill="1" applyBorder="1" applyAlignment="1">
      <alignment horizontal="center"/>
    </xf>
    <xf numFmtId="2" fontId="14" fillId="34" borderId="12" xfId="0" applyNumberFormat="1" applyFont="1" applyFill="1" applyBorder="1" applyAlignment="1" applyProtection="1">
      <alignment horizontal="right"/>
      <protection/>
    </xf>
    <xf numFmtId="0" fontId="2" fillId="34" borderId="14" xfId="0" applyFont="1" applyFill="1" applyBorder="1" applyAlignment="1">
      <alignment/>
    </xf>
    <xf numFmtId="0" fontId="9" fillId="34" borderId="14" xfId="0" applyFont="1" applyFill="1" applyBorder="1" applyAlignment="1">
      <alignment horizontal="left"/>
    </xf>
    <xf numFmtId="0" fontId="14" fillId="34" borderId="0" xfId="0" applyFont="1" applyFill="1" applyBorder="1" applyAlignment="1">
      <alignment/>
    </xf>
    <xf numFmtId="0" fontId="2" fillId="37" borderId="13" xfId="0" applyFont="1" applyFill="1" applyBorder="1" applyAlignment="1" applyProtection="1">
      <alignment/>
      <protection locked="0"/>
    </xf>
    <xf numFmtId="0" fontId="2" fillId="37" borderId="11" xfId="0" applyFont="1" applyFill="1" applyBorder="1" applyAlignment="1" applyProtection="1">
      <alignment/>
      <protection locked="0"/>
    </xf>
    <xf numFmtId="1" fontId="9" fillId="37" borderId="21" xfId="0" applyNumberFormat="1" applyFont="1" applyFill="1" applyBorder="1" applyAlignment="1" applyProtection="1">
      <alignment/>
      <protection locked="0"/>
    </xf>
    <xf numFmtId="1" fontId="9" fillId="37" borderId="20" xfId="0" applyNumberFormat="1" applyFont="1" applyFill="1" applyBorder="1" applyAlignment="1" applyProtection="1">
      <alignment/>
      <protection locked="0"/>
    </xf>
    <xf numFmtId="0" fontId="2" fillId="37" borderId="22" xfId="0" applyFont="1" applyFill="1" applyBorder="1" applyAlignment="1" applyProtection="1">
      <alignment/>
      <protection locked="0"/>
    </xf>
    <xf numFmtId="0" fontId="2" fillId="37" borderId="21" xfId="0" applyFont="1" applyFill="1" applyBorder="1" applyAlignment="1" applyProtection="1">
      <alignment/>
      <protection locked="0"/>
    </xf>
    <xf numFmtId="0" fontId="2" fillId="37" borderId="14" xfId="0" applyFont="1" applyFill="1" applyBorder="1" applyAlignment="1" applyProtection="1">
      <alignment/>
      <protection locked="0"/>
    </xf>
    <xf numFmtId="0" fontId="2" fillId="37" borderId="12" xfId="0" applyFont="1" applyFill="1" applyBorder="1" applyAlignment="1" applyProtection="1">
      <alignment/>
      <protection locked="0"/>
    </xf>
    <xf numFmtId="0" fontId="9" fillId="37" borderId="22" xfId="0" applyFont="1" applyFill="1" applyBorder="1" applyAlignment="1" applyProtection="1">
      <alignment/>
      <protection locked="0"/>
    </xf>
    <xf numFmtId="0" fontId="9" fillId="37" borderId="21" xfId="0" applyFont="1" applyFill="1" applyBorder="1" applyAlignment="1" applyProtection="1">
      <alignment/>
      <protection locked="0"/>
    </xf>
    <xf numFmtId="0" fontId="9" fillId="37" borderId="18" xfId="0" applyFont="1" applyFill="1" applyBorder="1" applyAlignment="1" applyProtection="1">
      <alignment/>
      <protection locked="0"/>
    </xf>
    <xf numFmtId="0" fontId="9" fillId="37" borderId="19" xfId="0" applyFont="1" applyFill="1" applyBorder="1" applyAlignment="1" applyProtection="1">
      <alignment/>
      <protection locked="0"/>
    </xf>
    <xf numFmtId="0" fontId="9" fillId="37" borderId="20" xfId="0" applyFont="1" applyFill="1" applyBorder="1" applyAlignment="1" applyProtection="1">
      <alignment/>
      <protection locked="0"/>
    </xf>
    <xf numFmtId="9" fontId="9" fillId="37" borderId="20" xfId="0" applyNumberFormat="1" applyFont="1" applyFill="1" applyBorder="1" applyAlignment="1" applyProtection="1">
      <alignment/>
      <protection locked="0"/>
    </xf>
    <xf numFmtId="0" fontId="9" fillId="37" borderId="20" xfId="0" applyFont="1" applyFill="1" applyBorder="1" applyAlignment="1" applyProtection="1">
      <alignment horizontal="right"/>
      <protection locked="0"/>
    </xf>
    <xf numFmtId="172" fontId="9" fillId="35" borderId="20" xfId="0" applyNumberFormat="1" applyFont="1" applyFill="1" applyBorder="1" applyAlignment="1" applyProtection="1">
      <alignment/>
      <protection locked="0"/>
    </xf>
    <xf numFmtId="0" fontId="12" fillId="0" borderId="0" xfId="0" applyFont="1" applyAlignment="1">
      <alignment/>
    </xf>
    <xf numFmtId="0" fontId="28" fillId="0" borderId="0" xfId="0" applyFont="1" applyAlignment="1">
      <alignment/>
    </xf>
    <xf numFmtId="2" fontId="9" fillId="35" borderId="20" xfId="0" applyNumberFormat="1" applyFont="1" applyFill="1" applyBorder="1" applyAlignment="1" applyProtection="1">
      <alignment horizontal="center"/>
      <protection locked="0"/>
    </xf>
    <xf numFmtId="173" fontId="9" fillId="35" borderId="20" xfId="0" applyNumberFormat="1" applyFont="1" applyFill="1" applyBorder="1" applyAlignment="1" applyProtection="1">
      <alignment/>
      <protection locked="0"/>
    </xf>
    <xf numFmtId="2" fontId="3" fillId="35" borderId="20" xfId="0" applyNumberFormat="1" applyFont="1" applyFill="1" applyBorder="1" applyAlignment="1" applyProtection="1">
      <alignment/>
      <protection locked="0"/>
    </xf>
    <xf numFmtId="174" fontId="9" fillId="35" borderId="20" xfId="57" applyNumberFormat="1" applyFont="1" applyFill="1" applyBorder="1" applyAlignment="1" applyProtection="1">
      <alignment/>
      <protection locked="0"/>
    </xf>
    <xf numFmtId="9" fontId="9" fillId="37" borderId="20" xfId="57" applyFont="1" applyFill="1" applyBorder="1" applyAlignment="1" applyProtection="1">
      <alignment/>
      <protection locked="0"/>
    </xf>
    <xf numFmtId="9" fontId="9" fillId="35" borderId="20" xfId="57" applyFont="1" applyFill="1" applyBorder="1" applyAlignment="1" applyProtection="1">
      <alignment/>
      <protection locked="0"/>
    </xf>
    <xf numFmtId="2" fontId="2" fillId="36" borderId="20" xfId="0" applyNumberFormat="1" applyFont="1" applyFill="1" applyBorder="1" applyAlignment="1">
      <alignment horizontal="right"/>
    </xf>
    <xf numFmtId="0" fontId="29" fillId="33" borderId="13" xfId="0" applyFont="1" applyFill="1" applyBorder="1" applyAlignment="1" applyProtection="1">
      <alignment/>
      <protection/>
    </xf>
    <xf numFmtId="0" fontId="9" fillId="34" borderId="15" xfId="0" applyFont="1" applyFill="1" applyBorder="1" applyAlignment="1" applyProtection="1">
      <alignment/>
      <protection/>
    </xf>
    <xf numFmtId="0" fontId="9" fillId="34" borderId="16" xfId="0" applyFont="1" applyFill="1" applyBorder="1" applyAlignment="1" applyProtection="1">
      <alignment/>
      <protection/>
    </xf>
    <xf numFmtId="0" fontId="9" fillId="34" borderId="23" xfId="0" applyFont="1" applyFill="1" applyBorder="1" applyAlignment="1" applyProtection="1">
      <alignment/>
      <protection/>
    </xf>
    <xf numFmtId="0" fontId="9" fillId="34" borderId="13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30" fillId="34" borderId="0" xfId="0" applyFont="1" applyFill="1" applyBorder="1" applyAlignment="1">
      <alignment horizontal="right"/>
    </xf>
    <xf numFmtId="9" fontId="30" fillId="34" borderId="0" xfId="0" applyNumberFormat="1" applyFont="1" applyFill="1" applyBorder="1" applyAlignment="1">
      <alignment/>
    </xf>
    <xf numFmtId="0" fontId="9" fillId="38" borderId="0" xfId="0" applyFont="1" applyFill="1" applyAlignment="1">
      <alignment/>
    </xf>
    <xf numFmtId="172" fontId="31" fillId="0" borderId="0" xfId="0" applyNumberFormat="1" applyFont="1" applyFill="1" applyBorder="1" applyAlignment="1">
      <alignment/>
    </xf>
    <xf numFmtId="172" fontId="14" fillId="34" borderId="20" xfId="0" applyNumberFormat="1" applyFont="1" applyFill="1" applyBorder="1" applyAlignment="1">
      <alignment/>
    </xf>
    <xf numFmtId="0" fontId="2" fillId="38" borderId="0" xfId="0" applyFont="1" applyFill="1" applyAlignment="1">
      <alignment horizontal="right"/>
    </xf>
    <xf numFmtId="0" fontId="26" fillId="38" borderId="0" xfId="0" applyFont="1" applyFill="1" applyAlignment="1">
      <alignment horizontal="right"/>
    </xf>
    <xf numFmtId="0" fontId="32" fillId="38" borderId="0" xfId="0" applyFont="1" applyFill="1" applyAlignment="1">
      <alignment horizontal="right"/>
    </xf>
    <xf numFmtId="0" fontId="34" fillId="38" borderId="0" xfId="0" applyFont="1" applyFill="1" applyAlignment="1">
      <alignment horizontal="right"/>
    </xf>
    <xf numFmtId="174" fontId="20" fillId="0" borderId="0" xfId="0" applyNumberFormat="1" applyFont="1" applyFill="1" applyAlignment="1">
      <alignment/>
    </xf>
    <xf numFmtId="180" fontId="9" fillId="35" borderId="0" xfId="0" applyNumberFormat="1" applyFont="1" applyFill="1" applyAlignment="1">
      <alignment horizontal="left"/>
    </xf>
    <xf numFmtId="0" fontId="0" fillId="35" borderId="0" xfId="0" applyFill="1" applyAlignment="1">
      <alignment/>
    </xf>
    <xf numFmtId="2" fontId="2" fillId="34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2" fillId="34" borderId="20" xfId="0" applyFont="1" applyFill="1" applyBorder="1" applyAlignment="1" applyProtection="1">
      <alignment horizontal="center"/>
      <protection/>
    </xf>
    <xf numFmtId="0" fontId="0" fillId="0" borderId="20" xfId="0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447675</xdr:colOff>
      <xdr:row>7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5448300" cy="1428750"/>
          <a:chOff x="1577" y="720"/>
          <a:chExt cx="8910" cy="3060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577" y="1800"/>
            <a:ext cx="8910" cy="19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686" y="720"/>
            <a:ext cx="2016" cy="112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609600</xdr:colOff>
      <xdr:row>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5010150" cy="1314450"/>
          <a:chOff x="1577" y="720"/>
          <a:chExt cx="8910" cy="3060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577" y="1800"/>
            <a:ext cx="8910" cy="19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686" y="720"/>
            <a:ext cx="2016" cy="112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4"/>
  <sheetViews>
    <sheetView tabSelected="1" zoomScalePageLayoutView="0" workbookViewId="0" topLeftCell="A1">
      <selection activeCell="E30" sqref="E30"/>
    </sheetView>
  </sheetViews>
  <sheetFormatPr defaultColWidth="9.33203125" defaultRowHeight="12.75"/>
  <cols>
    <col min="1" max="1" width="5.83203125" style="0" customWidth="1"/>
    <col min="2" max="2" width="22.66015625" style="0" customWidth="1"/>
    <col min="3" max="3" width="12.33203125" style="0" customWidth="1"/>
    <col min="11" max="11" width="5.16015625" style="0" customWidth="1"/>
    <col min="12" max="15" width="15.83203125" style="0" customWidth="1"/>
    <col min="16" max="16" width="6.16015625" style="0" customWidth="1"/>
    <col min="17" max="17" width="16.83203125" style="0" customWidth="1"/>
    <col min="18" max="18" width="9.16015625" style="0" customWidth="1"/>
    <col min="19" max="19" width="3.83203125" style="0" customWidth="1"/>
  </cols>
  <sheetData>
    <row r="1" spans="1:19" ht="20.25">
      <c r="A1" s="110"/>
      <c r="B1" s="105"/>
      <c r="C1" s="34" t="s">
        <v>40</v>
      </c>
      <c r="D1" s="34"/>
      <c r="E1" s="105"/>
      <c r="F1" s="105"/>
      <c r="G1" s="105"/>
      <c r="H1" s="185">
        <v>39857</v>
      </c>
      <c r="I1" s="186"/>
      <c r="J1" s="105"/>
      <c r="K1" s="105"/>
      <c r="L1" s="105"/>
      <c r="M1" s="105"/>
      <c r="N1" s="105"/>
      <c r="O1" s="105"/>
      <c r="P1" s="105"/>
      <c r="Q1" s="105"/>
      <c r="R1" s="105"/>
      <c r="S1" s="105"/>
    </row>
    <row r="2" ht="12.75">
      <c r="C2" s="159" t="s">
        <v>102</v>
      </c>
    </row>
    <row r="3" ht="13.5" customHeight="1"/>
    <row r="4" spans="1:19" s="6" customFormat="1" ht="15.75">
      <c r="A4" s="5" t="s">
        <v>50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2"/>
      <c r="R4" s="2"/>
      <c r="S4" s="2"/>
    </row>
    <row r="5" spans="1:31" ht="12.75" customHeight="1">
      <c r="A5" s="68"/>
      <c r="B5" s="68"/>
      <c r="C5" s="68"/>
      <c r="D5" s="70"/>
      <c r="E5" s="70"/>
      <c r="F5" s="70"/>
      <c r="G5" s="70"/>
      <c r="H5" s="70"/>
      <c r="I5" s="70"/>
      <c r="J5" s="70"/>
      <c r="K5" s="50"/>
      <c r="L5" s="50" t="s">
        <v>106</v>
      </c>
      <c r="M5" s="50"/>
      <c r="N5" s="50"/>
      <c r="O5" s="50"/>
      <c r="P5" s="50"/>
      <c r="Q5" s="50"/>
      <c r="R5" s="50"/>
      <c r="S5" s="68"/>
      <c r="T5" s="6"/>
      <c r="U5" s="6"/>
      <c r="AC5" s="71"/>
      <c r="AD5" s="6"/>
      <c r="AE5" s="6"/>
    </row>
    <row r="6" spans="1:31" ht="12.75" customHeight="1">
      <c r="A6" s="68"/>
      <c r="B6" s="68"/>
      <c r="C6" s="68"/>
      <c r="D6" s="70"/>
      <c r="E6" s="70"/>
      <c r="F6" s="70"/>
      <c r="G6" s="70"/>
      <c r="H6" s="70"/>
      <c r="I6" s="70"/>
      <c r="J6" s="70"/>
      <c r="K6" s="50"/>
      <c r="L6" s="180" t="s">
        <v>51</v>
      </c>
      <c r="M6" s="180" t="s">
        <v>51</v>
      </c>
      <c r="N6" s="50"/>
      <c r="O6" s="50"/>
      <c r="P6" s="50"/>
      <c r="Q6" s="50"/>
      <c r="R6" s="50"/>
      <c r="S6" s="68"/>
      <c r="T6" s="6"/>
      <c r="U6" s="6"/>
      <c r="AC6" s="71"/>
      <c r="AD6" s="6"/>
      <c r="AE6" s="6"/>
    </row>
    <row r="7" spans="1:30" ht="12.75">
      <c r="A7" s="68"/>
      <c r="B7" s="68"/>
      <c r="C7" s="68"/>
      <c r="D7" s="72" t="s">
        <v>2</v>
      </c>
      <c r="E7" s="72" t="s">
        <v>3</v>
      </c>
      <c r="F7" s="72" t="s">
        <v>4</v>
      </c>
      <c r="G7" s="72" t="s">
        <v>5</v>
      </c>
      <c r="H7" s="72" t="s">
        <v>6</v>
      </c>
      <c r="I7" s="72" t="s">
        <v>7</v>
      </c>
      <c r="J7" s="72" t="s">
        <v>48</v>
      </c>
      <c r="K7" s="73"/>
      <c r="L7" s="181" t="s">
        <v>107</v>
      </c>
      <c r="M7" s="182" t="s">
        <v>109</v>
      </c>
      <c r="N7" s="51" t="s">
        <v>52</v>
      </c>
      <c r="O7" s="51" t="s">
        <v>53</v>
      </c>
      <c r="P7" s="73"/>
      <c r="Q7" s="187"/>
      <c r="R7" s="188"/>
      <c r="S7" s="68"/>
      <c r="T7" s="6"/>
      <c r="U7" s="6"/>
      <c r="AC7" s="6"/>
      <c r="AD7" s="6"/>
    </row>
    <row r="8" spans="1:30" ht="12.75">
      <c r="A8" s="68"/>
      <c r="B8" s="95"/>
      <c r="C8" s="95" t="s">
        <v>66</v>
      </c>
      <c r="D8" s="73">
        <v>12.01</v>
      </c>
      <c r="E8" s="75">
        <v>1.008</v>
      </c>
      <c r="F8" s="73">
        <v>16</v>
      </c>
      <c r="G8" s="73">
        <v>35.45</v>
      </c>
      <c r="H8" s="73">
        <v>14.01</v>
      </c>
      <c r="I8" s="73">
        <v>32.06</v>
      </c>
      <c r="J8" s="73">
        <v>30.97</v>
      </c>
      <c r="K8" s="68"/>
      <c r="L8" s="41" t="s">
        <v>41</v>
      </c>
      <c r="M8" s="41" t="s">
        <v>41</v>
      </c>
      <c r="N8" s="51" t="s">
        <v>54</v>
      </c>
      <c r="O8" s="51" t="s">
        <v>55</v>
      </c>
      <c r="P8" s="68"/>
      <c r="Q8" s="128" t="s">
        <v>89</v>
      </c>
      <c r="R8" s="106"/>
      <c r="S8" s="68"/>
      <c r="T8" s="6"/>
      <c r="U8" s="6"/>
      <c r="AC8" s="6"/>
      <c r="AD8" s="6"/>
    </row>
    <row r="9" spans="1:30" ht="12.75">
      <c r="A9" s="76">
        <v>1</v>
      </c>
      <c r="B9" s="143" t="s">
        <v>56</v>
      </c>
      <c r="C9" s="144"/>
      <c r="D9" s="145">
        <v>0</v>
      </c>
      <c r="E9" s="146">
        <v>3</v>
      </c>
      <c r="F9" s="146">
        <v>0</v>
      </c>
      <c r="G9" s="146">
        <v>0</v>
      </c>
      <c r="H9" s="146">
        <v>1</v>
      </c>
      <c r="I9" s="146">
        <v>0</v>
      </c>
      <c r="J9" s="146">
        <v>0</v>
      </c>
      <c r="K9" s="77"/>
      <c r="L9" s="179">
        <f aca="true" t="shared" si="0" ref="L9:L18">+D9*D$8+E9*E$8+F9*F$8+G9*G$8+H9*H$8+I9*I$8+J9*J$8</f>
        <v>17.034</v>
      </c>
      <c r="M9" s="158">
        <f>+L9</f>
        <v>17.034</v>
      </c>
      <c r="N9" s="155">
        <v>50</v>
      </c>
      <c r="O9" s="156">
        <v>0.25</v>
      </c>
      <c r="P9" s="77"/>
      <c r="Q9" s="157" t="s">
        <v>83</v>
      </c>
      <c r="R9" s="108"/>
      <c r="S9" s="68"/>
      <c r="T9" s="6"/>
      <c r="U9" s="6"/>
      <c r="AC9" s="6"/>
      <c r="AD9" s="6"/>
    </row>
    <row r="10" spans="1:30" ht="12.75">
      <c r="A10" s="76">
        <v>2</v>
      </c>
      <c r="B10" s="147" t="s">
        <v>57</v>
      </c>
      <c r="C10" s="148"/>
      <c r="D10" s="145">
        <v>7</v>
      </c>
      <c r="E10" s="146">
        <v>3</v>
      </c>
      <c r="F10" s="146">
        <v>0</v>
      </c>
      <c r="G10" s="146">
        <v>2</v>
      </c>
      <c r="H10" s="146">
        <v>1</v>
      </c>
      <c r="I10" s="146">
        <v>0</v>
      </c>
      <c r="J10" s="146">
        <v>0</v>
      </c>
      <c r="K10" s="77"/>
      <c r="L10" s="179">
        <f t="shared" si="0"/>
        <v>172.004</v>
      </c>
      <c r="M10" s="158">
        <f aca="true" t="shared" si="1" ref="M10:M18">+L10</f>
        <v>172.004</v>
      </c>
      <c r="N10" s="155">
        <v>100</v>
      </c>
      <c r="O10" s="156">
        <v>0.2</v>
      </c>
      <c r="P10" s="77"/>
      <c r="Q10" s="157" t="s">
        <v>83</v>
      </c>
      <c r="R10" s="108"/>
      <c r="S10" s="68"/>
      <c r="T10" s="6"/>
      <c r="U10" s="6"/>
      <c r="AC10" s="6"/>
      <c r="AD10" s="6"/>
    </row>
    <row r="11" spans="1:30" ht="12.75">
      <c r="A11" s="76">
        <v>3</v>
      </c>
      <c r="B11" s="149" t="s">
        <v>58</v>
      </c>
      <c r="C11" s="150"/>
      <c r="D11" s="145">
        <v>2</v>
      </c>
      <c r="E11" s="146">
        <v>6</v>
      </c>
      <c r="F11" s="146">
        <v>1</v>
      </c>
      <c r="G11" s="146">
        <v>0</v>
      </c>
      <c r="H11" s="146">
        <v>0</v>
      </c>
      <c r="I11" s="146">
        <v>0</v>
      </c>
      <c r="J11" s="146">
        <v>0</v>
      </c>
      <c r="K11" s="77"/>
      <c r="L11" s="179">
        <f t="shared" si="0"/>
        <v>46.068</v>
      </c>
      <c r="M11" s="158">
        <f t="shared" si="1"/>
        <v>46.068</v>
      </c>
      <c r="N11" s="155">
        <v>150</v>
      </c>
      <c r="O11" s="156">
        <v>1</v>
      </c>
      <c r="P11" s="77"/>
      <c r="Q11" s="157" t="s">
        <v>80</v>
      </c>
      <c r="R11" s="108"/>
      <c r="S11" s="68"/>
      <c r="T11" s="6"/>
      <c r="U11" s="6"/>
      <c r="AC11" s="6"/>
      <c r="AD11" s="6"/>
    </row>
    <row r="12" spans="1:30" ht="12.75">
      <c r="A12" s="76">
        <v>4</v>
      </c>
      <c r="B12" s="147" t="s">
        <v>59</v>
      </c>
      <c r="C12" s="148"/>
      <c r="D12" s="145">
        <v>8</v>
      </c>
      <c r="E12" s="146">
        <v>19</v>
      </c>
      <c r="F12" s="146">
        <v>2</v>
      </c>
      <c r="G12" s="146">
        <v>0</v>
      </c>
      <c r="H12" s="146">
        <v>0</v>
      </c>
      <c r="I12" s="146">
        <v>2</v>
      </c>
      <c r="J12" s="146">
        <v>1</v>
      </c>
      <c r="K12" s="77"/>
      <c r="L12" s="179">
        <f t="shared" si="0"/>
        <v>242.322</v>
      </c>
      <c r="M12" s="158">
        <f t="shared" si="1"/>
        <v>242.322</v>
      </c>
      <c r="N12" s="155">
        <v>200</v>
      </c>
      <c r="O12" s="156">
        <v>0.1</v>
      </c>
      <c r="P12" s="77"/>
      <c r="Q12" s="157" t="s">
        <v>81</v>
      </c>
      <c r="R12" s="108"/>
      <c r="S12" s="68"/>
      <c r="T12" s="6"/>
      <c r="U12" s="6"/>
      <c r="AC12" s="6"/>
      <c r="AD12" s="6"/>
    </row>
    <row r="13" spans="1:30" ht="12.75">
      <c r="A13" s="76">
        <v>5</v>
      </c>
      <c r="B13" s="149" t="s">
        <v>60</v>
      </c>
      <c r="C13" s="150"/>
      <c r="D13" s="145">
        <v>9</v>
      </c>
      <c r="E13" s="146">
        <v>6</v>
      </c>
      <c r="F13" s="146">
        <v>2</v>
      </c>
      <c r="G13" s="146">
        <v>0</v>
      </c>
      <c r="H13" s="146">
        <v>2</v>
      </c>
      <c r="I13" s="146">
        <v>0</v>
      </c>
      <c r="J13" s="146">
        <v>0</v>
      </c>
      <c r="K13" s="77"/>
      <c r="L13" s="179">
        <f t="shared" si="0"/>
        <v>174.15800000000002</v>
      </c>
      <c r="M13" s="158">
        <f t="shared" si="1"/>
        <v>174.15800000000002</v>
      </c>
      <c r="N13" s="155">
        <v>250</v>
      </c>
      <c r="O13" s="156">
        <v>1</v>
      </c>
      <c r="P13" s="77"/>
      <c r="Q13" s="157" t="s">
        <v>82</v>
      </c>
      <c r="R13" s="108"/>
      <c r="S13" s="68"/>
      <c r="T13" s="6"/>
      <c r="U13" s="6"/>
      <c r="AC13" s="6"/>
      <c r="AD13" s="6"/>
    </row>
    <row r="14" spans="1:31" ht="12.75">
      <c r="A14" s="76">
        <v>6</v>
      </c>
      <c r="B14" s="151"/>
      <c r="C14" s="152"/>
      <c r="D14" s="145">
        <v>0</v>
      </c>
      <c r="E14" s="145">
        <v>0</v>
      </c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68"/>
      <c r="L14" s="179">
        <f t="shared" si="0"/>
        <v>0</v>
      </c>
      <c r="M14" s="158">
        <f t="shared" si="1"/>
        <v>0</v>
      </c>
      <c r="N14" s="155">
        <v>0</v>
      </c>
      <c r="O14" s="156">
        <v>1</v>
      </c>
      <c r="P14" s="68"/>
      <c r="Q14" s="157" t="s">
        <v>83</v>
      </c>
      <c r="R14" s="108"/>
      <c r="S14" s="68"/>
      <c r="T14" s="6"/>
      <c r="U14" s="6"/>
      <c r="V14" s="78"/>
      <c r="W14" s="78"/>
      <c r="X14" s="78"/>
      <c r="Y14" s="78"/>
      <c r="Z14" s="78"/>
      <c r="AA14" s="78"/>
      <c r="AB14" s="78"/>
      <c r="AC14" s="6"/>
      <c r="AD14" s="6"/>
      <c r="AE14" s="79"/>
    </row>
    <row r="15" spans="1:31" ht="12.75">
      <c r="A15" s="76">
        <v>7</v>
      </c>
      <c r="B15" s="151"/>
      <c r="C15" s="152"/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68"/>
      <c r="L15" s="179">
        <f t="shared" si="0"/>
        <v>0</v>
      </c>
      <c r="M15" s="158">
        <f t="shared" si="1"/>
        <v>0</v>
      </c>
      <c r="N15" s="155">
        <v>0</v>
      </c>
      <c r="O15" s="156">
        <v>1</v>
      </c>
      <c r="P15" s="68"/>
      <c r="Q15" s="157" t="s">
        <v>83</v>
      </c>
      <c r="R15" s="108"/>
      <c r="S15" s="68"/>
      <c r="T15" s="6"/>
      <c r="U15" s="6"/>
      <c r="V15" s="78"/>
      <c r="W15" s="78"/>
      <c r="X15" s="78"/>
      <c r="Y15" s="78"/>
      <c r="Z15" s="78"/>
      <c r="AA15" s="78"/>
      <c r="AB15" s="78"/>
      <c r="AC15" s="6"/>
      <c r="AD15" s="6"/>
      <c r="AE15" s="79"/>
    </row>
    <row r="16" spans="1:31" ht="12.75">
      <c r="A16" s="76">
        <v>8</v>
      </c>
      <c r="B16" s="151"/>
      <c r="C16" s="152"/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68"/>
      <c r="L16" s="179">
        <f t="shared" si="0"/>
        <v>0</v>
      </c>
      <c r="M16" s="158">
        <f t="shared" si="1"/>
        <v>0</v>
      </c>
      <c r="N16" s="155">
        <v>0</v>
      </c>
      <c r="O16" s="156">
        <v>1</v>
      </c>
      <c r="P16" s="68"/>
      <c r="Q16" s="157" t="s">
        <v>83</v>
      </c>
      <c r="R16" s="108"/>
      <c r="S16" s="68"/>
      <c r="T16" s="6"/>
      <c r="U16" s="6"/>
      <c r="V16" s="78"/>
      <c r="W16" s="78"/>
      <c r="X16" s="78"/>
      <c r="Y16" s="78"/>
      <c r="Z16" s="78"/>
      <c r="AA16" s="78"/>
      <c r="AB16" s="78"/>
      <c r="AC16" s="6"/>
      <c r="AD16" s="6"/>
      <c r="AE16" s="79"/>
    </row>
    <row r="17" spans="1:31" ht="12.75">
      <c r="A17" s="76">
        <v>9</v>
      </c>
      <c r="B17" s="151"/>
      <c r="C17" s="152"/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68"/>
      <c r="L17" s="179">
        <f t="shared" si="0"/>
        <v>0</v>
      </c>
      <c r="M17" s="158">
        <f t="shared" si="1"/>
        <v>0</v>
      </c>
      <c r="N17" s="155">
        <v>0</v>
      </c>
      <c r="O17" s="156">
        <v>1</v>
      </c>
      <c r="P17" s="68"/>
      <c r="Q17" s="157" t="s">
        <v>83</v>
      </c>
      <c r="R17" s="108"/>
      <c r="S17" s="68"/>
      <c r="T17" s="6"/>
      <c r="U17" s="6"/>
      <c r="V17" s="78"/>
      <c r="W17" s="78"/>
      <c r="X17" s="78"/>
      <c r="Y17" s="78"/>
      <c r="Z17" s="78"/>
      <c r="AA17" s="78"/>
      <c r="AB17" s="78"/>
      <c r="AC17" s="6"/>
      <c r="AD17" s="6"/>
      <c r="AE17" s="79"/>
    </row>
    <row r="18" spans="1:31" ht="12.75">
      <c r="A18" s="76">
        <v>10</v>
      </c>
      <c r="B18" s="153"/>
      <c r="C18" s="154"/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68"/>
      <c r="L18" s="179">
        <f t="shared" si="0"/>
        <v>0</v>
      </c>
      <c r="M18" s="158">
        <f t="shared" si="1"/>
        <v>0</v>
      </c>
      <c r="N18" s="155">
        <v>0</v>
      </c>
      <c r="O18" s="156">
        <v>1</v>
      </c>
      <c r="P18" s="68"/>
      <c r="Q18" s="157" t="s">
        <v>83</v>
      </c>
      <c r="R18" s="108"/>
      <c r="S18" s="68"/>
      <c r="T18" s="6"/>
      <c r="U18" s="6"/>
      <c r="V18" s="78"/>
      <c r="W18" s="78"/>
      <c r="X18" s="78"/>
      <c r="Y18" s="78"/>
      <c r="Z18" s="78"/>
      <c r="AA18" s="78"/>
      <c r="AB18" s="78"/>
      <c r="AC18" s="6"/>
      <c r="AD18" s="6"/>
      <c r="AE18" s="79"/>
    </row>
    <row r="19" spans="1:31" ht="12.75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74"/>
      <c r="N19" s="74"/>
      <c r="O19" s="74"/>
      <c r="P19" s="68"/>
      <c r="Q19" s="68"/>
      <c r="R19" s="68"/>
      <c r="S19" s="68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1:31" ht="12.75">
      <c r="A20" s="68"/>
      <c r="B20" s="41"/>
      <c r="C20" s="41"/>
      <c r="D20" s="72" t="s">
        <v>2</v>
      </c>
      <c r="E20" s="72" t="s">
        <v>3</v>
      </c>
      <c r="F20" s="72" t="s">
        <v>4</v>
      </c>
      <c r="G20" s="72" t="s">
        <v>5</v>
      </c>
      <c r="H20" s="72" t="s">
        <v>6</v>
      </c>
      <c r="I20" s="72" t="s">
        <v>7</v>
      </c>
      <c r="J20" s="72" t="s">
        <v>48</v>
      </c>
      <c r="K20" s="41"/>
      <c r="L20" s="41"/>
      <c r="M20" s="41" t="s">
        <v>61</v>
      </c>
      <c r="N20" s="41" t="s">
        <v>62</v>
      </c>
      <c r="O20" s="41" t="s">
        <v>61</v>
      </c>
      <c r="P20" s="80"/>
      <c r="Q20" s="80"/>
      <c r="R20" s="41" t="s">
        <v>77</v>
      </c>
      <c r="S20" s="68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spans="1:19" ht="12.75">
      <c r="A21" s="68"/>
      <c r="B21" s="41"/>
      <c r="C21" s="41"/>
      <c r="D21" s="167">
        <f aca="true" t="shared" si="2" ref="D21:J21">+D44</f>
        <v>3.7171033531155957</v>
      </c>
      <c r="E21" s="167">
        <f t="shared" si="2"/>
        <v>5.737320273149668</v>
      </c>
      <c r="F21" s="167">
        <f t="shared" si="2"/>
        <v>1.1187570550457913</v>
      </c>
      <c r="G21" s="167">
        <f t="shared" si="2"/>
        <v>0.04134879409115722</v>
      </c>
      <c r="H21" s="167">
        <f t="shared" si="2"/>
        <v>0.6616190021506239</v>
      </c>
      <c r="I21" s="167">
        <f t="shared" si="2"/>
        <v>0.029350030037947058</v>
      </c>
      <c r="J21" s="167">
        <f t="shared" si="2"/>
        <v>0.01467501501897353</v>
      </c>
      <c r="K21" s="41"/>
      <c r="L21" s="41"/>
      <c r="M21" s="103">
        <f>+O23/SUM(Q30:Q39)</f>
        <v>80.45628713580179</v>
      </c>
      <c r="N21" s="81">
        <f>SUM(N9:N18)</f>
        <v>750</v>
      </c>
      <c r="O21" s="82">
        <f>+O23/N21</f>
        <v>0.6033333333333334</v>
      </c>
      <c r="P21" s="41"/>
      <c r="Q21" s="129" t="s">
        <v>90</v>
      </c>
      <c r="R21" s="130">
        <f>+D60+E60</f>
        <v>0.2</v>
      </c>
      <c r="S21" s="68"/>
    </row>
    <row r="22" spans="1:19" ht="12.75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95" t="s">
        <v>78</v>
      </c>
      <c r="P22" s="68"/>
      <c r="Q22" s="95" t="s">
        <v>81</v>
      </c>
      <c r="R22" s="131">
        <f>+G60</f>
        <v>0.26666666666666666</v>
      </c>
      <c r="S22" s="68"/>
    </row>
    <row r="23" spans="1:19" ht="12.75">
      <c r="A23" s="68"/>
      <c r="B23" s="68"/>
      <c r="C23" s="68"/>
      <c r="D23" s="68"/>
      <c r="E23" s="68"/>
      <c r="F23" s="41" t="s">
        <v>67</v>
      </c>
      <c r="G23" s="83">
        <f>+G41/$N$21</f>
        <v>0.010991992434284477</v>
      </c>
      <c r="H23" s="83">
        <f>+H41/$N$21</f>
        <v>0.06950938377306773</v>
      </c>
      <c r="I23" s="83">
        <f>+I41/$N$21</f>
        <v>0.007056175942203625</v>
      </c>
      <c r="J23" s="68"/>
      <c r="K23" s="68"/>
      <c r="L23" s="68"/>
      <c r="M23" s="68"/>
      <c r="N23" s="68"/>
      <c r="O23" s="109">
        <f>+(O9*N9+O10*N10+O11*N11+O12*N12+O13*N13+O14*N14+O15*N15+O16*N16+O17*N17+O18*N18)</f>
        <v>452.5</v>
      </c>
      <c r="P23" s="68"/>
      <c r="Q23" s="95" t="s">
        <v>82</v>
      </c>
      <c r="R23" s="131">
        <f>+I60</f>
        <v>0.3333333333333333</v>
      </c>
      <c r="S23" s="68"/>
    </row>
    <row r="24" spans="1:19" ht="12.75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177"/>
      <c r="M24" s="177"/>
      <c r="N24" s="177"/>
      <c r="O24" s="183" t="s">
        <v>108</v>
      </c>
      <c r="P24" s="68"/>
      <c r="Q24" s="41"/>
      <c r="R24" s="68"/>
      <c r="S24" s="68"/>
    </row>
    <row r="25" spans="1:19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2:19" ht="12.7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19" ht="15.75">
      <c r="A27" s="160" t="s">
        <v>103</v>
      </c>
      <c r="C27" s="85"/>
      <c r="D27" s="121" t="s">
        <v>86</v>
      </c>
      <c r="E27" s="84"/>
      <c r="F27" s="84"/>
      <c r="G27" s="84"/>
      <c r="H27" s="84"/>
      <c r="I27" s="84"/>
      <c r="J27" s="84"/>
      <c r="K27" s="84"/>
      <c r="L27" s="86"/>
      <c r="M27" s="87" t="s">
        <v>51</v>
      </c>
      <c r="N27" s="87" t="s">
        <v>52</v>
      </c>
      <c r="O27" s="87" t="s">
        <v>53</v>
      </c>
      <c r="P27" s="6"/>
      <c r="Q27" s="87" t="s">
        <v>52</v>
      </c>
      <c r="R27" s="6"/>
      <c r="S27" s="6"/>
    </row>
    <row r="28" spans="1:19" ht="14.25">
      <c r="A28" s="84"/>
      <c r="B28" s="84"/>
      <c r="C28" s="84"/>
      <c r="D28" s="87" t="s">
        <v>2</v>
      </c>
      <c r="E28" s="87" t="s">
        <v>3</v>
      </c>
      <c r="F28" s="87" t="s">
        <v>4</v>
      </c>
      <c r="G28" s="87" t="s">
        <v>5</v>
      </c>
      <c r="H28" s="87" t="s">
        <v>6</v>
      </c>
      <c r="I28" s="87" t="s">
        <v>7</v>
      </c>
      <c r="J28" s="87" t="s">
        <v>48</v>
      </c>
      <c r="K28" s="84"/>
      <c r="L28" s="84"/>
      <c r="M28" s="94" t="s">
        <v>41</v>
      </c>
      <c r="N28" s="87" t="s">
        <v>54</v>
      </c>
      <c r="O28" s="87" t="s">
        <v>55</v>
      </c>
      <c r="P28" s="6"/>
      <c r="Q28" s="87" t="s">
        <v>76</v>
      </c>
      <c r="R28" s="6"/>
      <c r="S28" s="6"/>
    </row>
    <row r="29" spans="1:19" ht="12.75">
      <c r="A29" s="84"/>
      <c r="B29" s="84"/>
      <c r="C29" s="84"/>
      <c r="D29" s="87"/>
      <c r="E29" s="87"/>
      <c r="F29" s="87"/>
      <c r="G29" s="87"/>
      <c r="H29" s="87"/>
      <c r="I29" s="87"/>
      <c r="J29" s="87"/>
      <c r="K29" s="84"/>
      <c r="L29" s="84"/>
      <c r="M29" s="94"/>
      <c r="N29" s="87"/>
      <c r="O29" s="87"/>
      <c r="P29" s="6"/>
      <c r="Q29" s="87"/>
      <c r="R29" s="6"/>
      <c r="S29" s="6"/>
    </row>
    <row r="30" spans="1:19" ht="12.75">
      <c r="A30" s="88">
        <v>1</v>
      </c>
      <c r="B30" s="84" t="str">
        <f>+B9</f>
        <v>Ammonia 25%</v>
      </c>
      <c r="C30" s="84"/>
      <c r="D30" s="89">
        <f aca="true" t="shared" si="3" ref="D30:J39">IF($M9=0,0,+(D9*D$8/$M9)*$N9*$O9)</f>
        <v>0</v>
      </c>
      <c r="E30" s="89">
        <f t="shared" si="3"/>
        <v>2.219091229306094</v>
      </c>
      <c r="F30" s="89">
        <f t="shared" si="3"/>
        <v>0</v>
      </c>
      <c r="G30" s="89">
        <f t="shared" si="3"/>
        <v>0</v>
      </c>
      <c r="H30" s="89">
        <f t="shared" si="3"/>
        <v>10.280908770693907</v>
      </c>
      <c r="I30" s="89">
        <f t="shared" si="3"/>
        <v>0</v>
      </c>
      <c r="J30" s="89">
        <f t="shared" si="3"/>
        <v>0</v>
      </c>
      <c r="K30" s="84"/>
      <c r="L30" s="89"/>
      <c r="M30" s="89">
        <f aca="true" t="shared" si="4" ref="M30:O39">+M9</f>
        <v>17.034</v>
      </c>
      <c r="N30" s="99">
        <f>+N9</f>
        <v>50</v>
      </c>
      <c r="O30" s="100">
        <f>+O9</f>
        <v>0.25</v>
      </c>
      <c r="P30" s="6"/>
      <c r="Q30" s="184">
        <f aca="true" t="shared" si="5" ref="Q30:Q39">IF(+N9=0,0,+N9*O9/M9)</f>
        <v>0.7338264647176236</v>
      </c>
      <c r="R30" s="6"/>
      <c r="S30" s="6"/>
    </row>
    <row r="31" spans="1:19" ht="12.75">
      <c r="A31" s="88">
        <v>2</v>
      </c>
      <c r="B31" s="84" t="str">
        <f aca="true" t="shared" si="6" ref="B31:B39">+B10</f>
        <v>Dichlobenil</v>
      </c>
      <c r="C31" s="84"/>
      <c r="D31" s="89">
        <f t="shared" si="3"/>
        <v>9.775354061533452</v>
      </c>
      <c r="E31" s="89">
        <f t="shared" si="3"/>
        <v>0.35161972977372624</v>
      </c>
      <c r="F31" s="89">
        <f t="shared" si="3"/>
        <v>0</v>
      </c>
      <c r="G31" s="89">
        <f t="shared" si="3"/>
        <v>8.243994325713357</v>
      </c>
      <c r="H31" s="89">
        <f t="shared" si="3"/>
        <v>1.6290318829794659</v>
      </c>
      <c r="I31" s="89">
        <f t="shared" si="3"/>
        <v>0</v>
      </c>
      <c r="J31" s="89">
        <f t="shared" si="3"/>
        <v>0</v>
      </c>
      <c r="K31" s="84"/>
      <c r="L31" s="89"/>
      <c r="M31" s="89">
        <f t="shared" si="4"/>
        <v>172.004</v>
      </c>
      <c r="N31" s="99">
        <f t="shared" si="4"/>
        <v>100</v>
      </c>
      <c r="O31" s="100">
        <f t="shared" si="4"/>
        <v>0.2</v>
      </c>
      <c r="P31" s="6"/>
      <c r="Q31" s="184">
        <f t="shared" si="5"/>
        <v>0.11627636566591475</v>
      </c>
      <c r="R31" s="6"/>
      <c r="S31" s="6"/>
    </row>
    <row r="32" spans="1:19" ht="12.75">
      <c r="A32" s="88">
        <v>3</v>
      </c>
      <c r="B32" s="84" t="str">
        <f t="shared" si="6"/>
        <v>Ethanol</v>
      </c>
      <c r="C32" s="84"/>
      <c r="D32" s="89">
        <f t="shared" si="3"/>
        <v>78.21047147694713</v>
      </c>
      <c r="E32" s="89">
        <f t="shared" si="3"/>
        <v>19.69262828861683</v>
      </c>
      <c r="F32" s="89">
        <f t="shared" si="3"/>
        <v>52.096900234436056</v>
      </c>
      <c r="G32" s="89">
        <f t="shared" si="3"/>
        <v>0</v>
      </c>
      <c r="H32" s="89">
        <f t="shared" si="3"/>
        <v>0</v>
      </c>
      <c r="I32" s="89">
        <f t="shared" si="3"/>
        <v>0</v>
      </c>
      <c r="J32" s="89">
        <f t="shared" si="3"/>
        <v>0</v>
      </c>
      <c r="K32" s="84"/>
      <c r="L32" s="89"/>
      <c r="M32" s="89">
        <f t="shared" si="4"/>
        <v>46.068</v>
      </c>
      <c r="N32" s="99">
        <f t="shared" si="4"/>
        <v>150</v>
      </c>
      <c r="O32" s="100">
        <f t="shared" si="4"/>
        <v>1</v>
      </c>
      <c r="P32" s="6"/>
      <c r="Q32" s="184">
        <f t="shared" si="5"/>
        <v>3.2560562646522535</v>
      </c>
      <c r="R32" s="6"/>
      <c r="S32" s="6"/>
    </row>
    <row r="33" spans="1:19" ht="12.75">
      <c r="A33" s="88">
        <v>4</v>
      </c>
      <c r="B33" s="84" t="str">
        <f t="shared" si="6"/>
        <v>Ethoprophos</v>
      </c>
      <c r="C33" s="84"/>
      <c r="D33" s="89">
        <f t="shared" si="3"/>
        <v>7.929944454073506</v>
      </c>
      <c r="E33" s="89">
        <f t="shared" si="3"/>
        <v>1.5807066630351354</v>
      </c>
      <c r="F33" s="89">
        <f t="shared" si="3"/>
        <v>2.641113889783016</v>
      </c>
      <c r="G33" s="89">
        <f t="shared" si="3"/>
        <v>0</v>
      </c>
      <c r="H33" s="89">
        <f t="shared" si="3"/>
        <v>0</v>
      </c>
      <c r="I33" s="89">
        <f t="shared" si="3"/>
        <v>5.292131956652718</v>
      </c>
      <c r="J33" s="89">
        <f t="shared" si="3"/>
        <v>2.5561030364556254</v>
      </c>
      <c r="K33" s="84"/>
      <c r="L33" s="89"/>
      <c r="M33" s="89">
        <f t="shared" si="4"/>
        <v>242.322</v>
      </c>
      <c r="N33" s="99">
        <f t="shared" si="4"/>
        <v>200</v>
      </c>
      <c r="O33" s="100">
        <f t="shared" si="4"/>
        <v>0.1</v>
      </c>
      <c r="P33" s="6"/>
      <c r="Q33" s="184">
        <f>IF(+N12=0,0,+N12*O12/M12)</f>
        <v>0.08253480905571925</v>
      </c>
      <c r="R33" s="6"/>
      <c r="S33" s="6"/>
    </row>
    <row r="34" spans="1:19" ht="12.75">
      <c r="A34" s="88">
        <v>5</v>
      </c>
      <c r="B34" s="84" t="str">
        <f t="shared" si="6"/>
        <v>TDI</v>
      </c>
      <c r="C34" s="84"/>
      <c r="D34" s="89">
        <f t="shared" si="3"/>
        <v>155.16083096957934</v>
      </c>
      <c r="E34" s="89">
        <f t="shared" si="3"/>
        <v>8.681771724526005</v>
      </c>
      <c r="F34" s="89">
        <f t="shared" si="3"/>
        <v>45.935300129767214</v>
      </c>
      <c r="G34" s="89">
        <f t="shared" si="3"/>
        <v>0</v>
      </c>
      <c r="H34" s="89">
        <f t="shared" si="3"/>
        <v>40.22209717612742</v>
      </c>
      <c r="I34" s="89">
        <f t="shared" si="3"/>
        <v>0</v>
      </c>
      <c r="J34" s="89">
        <f t="shared" si="3"/>
        <v>0</v>
      </c>
      <c r="K34" s="84"/>
      <c r="L34" s="89"/>
      <c r="M34" s="89">
        <f t="shared" si="4"/>
        <v>174.15800000000002</v>
      </c>
      <c r="N34" s="99">
        <f t="shared" si="4"/>
        <v>250</v>
      </c>
      <c r="O34" s="100">
        <f t="shared" si="4"/>
        <v>1</v>
      </c>
      <c r="P34" s="6"/>
      <c r="Q34" s="184">
        <f t="shared" si="5"/>
        <v>1.4354781290552256</v>
      </c>
      <c r="R34" s="6"/>
      <c r="S34" s="6"/>
    </row>
    <row r="35" spans="1:19" ht="12.75">
      <c r="A35" s="88">
        <v>6</v>
      </c>
      <c r="B35" s="84">
        <f t="shared" si="6"/>
        <v>0</v>
      </c>
      <c r="C35" s="84"/>
      <c r="D35" s="89">
        <f t="shared" si="3"/>
        <v>0</v>
      </c>
      <c r="E35" s="89">
        <f t="shared" si="3"/>
        <v>0</v>
      </c>
      <c r="F35" s="89">
        <f t="shared" si="3"/>
        <v>0</v>
      </c>
      <c r="G35" s="89">
        <f t="shared" si="3"/>
        <v>0</v>
      </c>
      <c r="H35" s="89">
        <f t="shared" si="3"/>
        <v>0</v>
      </c>
      <c r="I35" s="89">
        <f t="shared" si="3"/>
        <v>0</v>
      </c>
      <c r="J35" s="89">
        <f t="shared" si="3"/>
        <v>0</v>
      </c>
      <c r="L35" s="178"/>
      <c r="M35" s="89">
        <f t="shared" si="4"/>
        <v>0</v>
      </c>
      <c r="N35" s="99">
        <f t="shared" si="4"/>
        <v>0</v>
      </c>
      <c r="O35" s="100">
        <f t="shared" si="4"/>
        <v>1</v>
      </c>
      <c r="P35" s="6"/>
      <c r="Q35" s="184">
        <f>IF(+N14=0,0,+N14*O14/M14)</f>
        <v>0</v>
      </c>
      <c r="R35" s="6"/>
      <c r="S35" s="6"/>
    </row>
    <row r="36" spans="1:19" ht="12.75">
      <c r="A36" s="88">
        <v>7</v>
      </c>
      <c r="B36" s="84">
        <f t="shared" si="6"/>
        <v>0</v>
      </c>
      <c r="C36" s="84"/>
      <c r="D36" s="89">
        <f t="shared" si="3"/>
        <v>0</v>
      </c>
      <c r="E36" s="89">
        <f t="shared" si="3"/>
        <v>0</v>
      </c>
      <c r="F36" s="89">
        <f t="shared" si="3"/>
        <v>0</v>
      </c>
      <c r="G36" s="89">
        <f t="shared" si="3"/>
        <v>0</v>
      </c>
      <c r="H36" s="89">
        <f t="shared" si="3"/>
        <v>0</v>
      </c>
      <c r="I36" s="89">
        <f t="shared" si="3"/>
        <v>0</v>
      </c>
      <c r="J36" s="89">
        <f t="shared" si="3"/>
        <v>0</v>
      </c>
      <c r="K36" s="84"/>
      <c r="L36" s="89"/>
      <c r="M36" s="89">
        <f t="shared" si="4"/>
        <v>0</v>
      </c>
      <c r="N36" s="99">
        <f t="shared" si="4"/>
        <v>0</v>
      </c>
      <c r="O36" s="100">
        <f t="shared" si="4"/>
        <v>1</v>
      </c>
      <c r="P36" s="6"/>
      <c r="Q36" s="184">
        <f t="shared" si="5"/>
        <v>0</v>
      </c>
      <c r="R36" s="6"/>
      <c r="S36" s="6"/>
    </row>
    <row r="37" spans="1:19" ht="12.75">
      <c r="A37" s="88">
        <v>8</v>
      </c>
      <c r="B37" s="84">
        <f t="shared" si="6"/>
        <v>0</v>
      </c>
      <c r="C37" s="84"/>
      <c r="D37" s="89">
        <f t="shared" si="3"/>
        <v>0</v>
      </c>
      <c r="E37" s="89">
        <f t="shared" si="3"/>
        <v>0</v>
      </c>
      <c r="F37" s="89">
        <f t="shared" si="3"/>
        <v>0</v>
      </c>
      <c r="G37" s="89">
        <f t="shared" si="3"/>
        <v>0</v>
      </c>
      <c r="H37" s="89">
        <f t="shared" si="3"/>
        <v>0</v>
      </c>
      <c r="I37" s="89">
        <f t="shared" si="3"/>
        <v>0</v>
      </c>
      <c r="J37" s="89">
        <f t="shared" si="3"/>
        <v>0</v>
      </c>
      <c r="K37" s="84"/>
      <c r="L37" s="89"/>
      <c r="M37" s="89">
        <f t="shared" si="4"/>
        <v>0</v>
      </c>
      <c r="N37" s="99">
        <f t="shared" si="4"/>
        <v>0</v>
      </c>
      <c r="O37" s="100">
        <f t="shared" si="4"/>
        <v>1</v>
      </c>
      <c r="P37" s="6"/>
      <c r="Q37" s="184">
        <f t="shared" si="5"/>
        <v>0</v>
      </c>
      <c r="R37" s="6"/>
      <c r="S37" s="6"/>
    </row>
    <row r="38" spans="1:19" ht="12.75">
      <c r="A38" s="88">
        <v>9</v>
      </c>
      <c r="B38" s="84">
        <f t="shared" si="6"/>
        <v>0</v>
      </c>
      <c r="C38" s="84"/>
      <c r="D38" s="89">
        <f t="shared" si="3"/>
        <v>0</v>
      </c>
      <c r="E38" s="89">
        <f t="shared" si="3"/>
        <v>0</v>
      </c>
      <c r="F38" s="89">
        <f t="shared" si="3"/>
        <v>0</v>
      </c>
      <c r="G38" s="89">
        <f t="shared" si="3"/>
        <v>0</v>
      </c>
      <c r="H38" s="89">
        <f t="shared" si="3"/>
        <v>0</v>
      </c>
      <c r="I38" s="89">
        <f t="shared" si="3"/>
        <v>0</v>
      </c>
      <c r="J38" s="89">
        <f t="shared" si="3"/>
        <v>0</v>
      </c>
      <c r="K38" s="84"/>
      <c r="L38" s="89"/>
      <c r="M38" s="89">
        <f t="shared" si="4"/>
        <v>0</v>
      </c>
      <c r="N38" s="99">
        <f t="shared" si="4"/>
        <v>0</v>
      </c>
      <c r="O38" s="100">
        <f t="shared" si="4"/>
        <v>1</v>
      </c>
      <c r="P38" s="6"/>
      <c r="Q38" s="184">
        <f t="shared" si="5"/>
        <v>0</v>
      </c>
      <c r="R38" s="6"/>
      <c r="S38" s="6"/>
    </row>
    <row r="39" spans="1:19" ht="12.75">
      <c r="A39" s="88">
        <v>10</v>
      </c>
      <c r="B39" s="84">
        <f t="shared" si="6"/>
        <v>0</v>
      </c>
      <c r="C39" s="84"/>
      <c r="D39" s="89">
        <f t="shared" si="3"/>
        <v>0</v>
      </c>
      <c r="E39" s="89">
        <f t="shared" si="3"/>
        <v>0</v>
      </c>
      <c r="F39" s="89">
        <f t="shared" si="3"/>
        <v>0</v>
      </c>
      <c r="G39" s="89">
        <f t="shared" si="3"/>
        <v>0</v>
      </c>
      <c r="H39" s="89">
        <f t="shared" si="3"/>
        <v>0</v>
      </c>
      <c r="I39" s="89">
        <f t="shared" si="3"/>
        <v>0</v>
      </c>
      <c r="J39" s="89">
        <f t="shared" si="3"/>
        <v>0</v>
      </c>
      <c r="K39" s="84"/>
      <c r="L39" s="89"/>
      <c r="M39" s="89">
        <f t="shared" si="4"/>
        <v>0</v>
      </c>
      <c r="N39" s="99">
        <f t="shared" si="4"/>
        <v>0</v>
      </c>
      <c r="O39" s="100">
        <f t="shared" si="4"/>
        <v>1</v>
      </c>
      <c r="P39" s="6"/>
      <c r="Q39" s="184">
        <f t="shared" si="5"/>
        <v>0</v>
      </c>
      <c r="R39" s="6"/>
      <c r="S39" s="6"/>
    </row>
    <row r="40" spans="1:19" ht="12.75">
      <c r="A40" s="84"/>
      <c r="B40" s="84"/>
      <c r="C40" s="84"/>
      <c r="D40" s="84"/>
      <c r="E40" s="84"/>
      <c r="F40" s="84"/>
      <c r="G40" s="84"/>
      <c r="H40" s="89"/>
      <c r="I40" s="84"/>
      <c r="J40" s="84"/>
      <c r="K40" s="84"/>
      <c r="P40" s="102" t="s">
        <v>62</v>
      </c>
      <c r="Q40" s="101">
        <f>SUM(Q30:Q39)</f>
        <v>5.624172033146737</v>
      </c>
      <c r="R40" s="6"/>
      <c r="S40" s="6"/>
    </row>
    <row r="41" spans="1:19" ht="12.75">
      <c r="A41" s="84"/>
      <c r="B41" s="84"/>
      <c r="C41" s="84"/>
      <c r="D41" s="90">
        <f>SUM(D30:D39)</f>
        <v>251.07660096213343</v>
      </c>
      <c r="E41" s="90">
        <f aca="true" t="shared" si="7" ref="E41:J41">SUM(E30:E39)</f>
        <v>32.525817635257795</v>
      </c>
      <c r="F41" s="90">
        <f t="shared" si="7"/>
        <v>100.67331425398629</v>
      </c>
      <c r="G41" s="90">
        <f t="shared" si="7"/>
        <v>8.243994325713357</v>
      </c>
      <c r="H41" s="90">
        <f t="shared" si="7"/>
        <v>52.132037829800794</v>
      </c>
      <c r="I41" s="90">
        <f t="shared" si="7"/>
        <v>5.292131956652718</v>
      </c>
      <c r="J41" s="90">
        <f t="shared" si="7"/>
        <v>2.5561030364556254</v>
      </c>
      <c r="K41" s="84" t="s">
        <v>63</v>
      </c>
      <c r="L41" s="178"/>
      <c r="P41" s="6"/>
      <c r="Q41" s="6"/>
      <c r="R41" s="6"/>
      <c r="S41" s="6"/>
    </row>
    <row r="42" spans="1:19" ht="14.25">
      <c r="A42" s="84"/>
      <c r="B42" s="84"/>
      <c r="C42" s="84"/>
      <c r="D42" s="91">
        <f aca="true" t="shared" si="8" ref="D42:J42">+D41/D8</f>
        <v>20.905628722908695</v>
      </c>
      <c r="E42" s="91">
        <f t="shared" si="8"/>
        <v>32.26767622545416</v>
      </c>
      <c r="F42" s="91">
        <f t="shared" si="8"/>
        <v>6.292082140874143</v>
      </c>
      <c r="G42" s="91">
        <f t="shared" si="8"/>
        <v>0.23255273133182952</v>
      </c>
      <c r="H42" s="91">
        <f t="shared" si="8"/>
        <v>3.72105908849399</v>
      </c>
      <c r="I42" s="91">
        <f t="shared" si="8"/>
        <v>0.1650696181114385</v>
      </c>
      <c r="J42" s="91">
        <f t="shared" si="8"/>
        <v>0.08253480905571926</v>
      </c>
      <c r="K42" s="84" t="s">
        <v>64</v>
      </c>
      <c r="L42" s="178"/>
      <c r="M42" s="86"/>
      <c r="N42" s="6"/>
      <c r="O42" s="6"/>
      <c r="P42" s="6"/>
      <c r="Q42" s="107"/>
      <c r="R42" s="6"/>
      <c r="S42" s="6"/>
    </row>
    <row r="43" spans="1:19" ht="12.75">
      <c r="A43" s="84"/>
      <c r="B43" s="84"/>
      <c r="C43" s="84"/>
      <c r="D43" s="91"/>
      <c r="E43" s="91"/>
      <c r="F43" s="91"/>
      <c r="G43" s="91"/>
      <c r="H43" s="91"/>
      <c r="I43" s="91"/>
      <c r="J43" s="91"/>
      <c r="K43" s="84"/>
      <c r="L43" s="84"/>
      <c r="M43" s="86"/>
      <c r="N43" s="6"/>
      <c r="O43" s="6"/>
      <c r="P43" s="6"/>
      <c r="Q43" s="107"/>
      <c r="R43" s="6"/>
      <c r="S43" s="6"/>
    </row>
    <row r="44" spans="1:19" ht="12.75">
      <c r="A44" s="84"/>
      <c r="B44" s="84"/>
      <c r="C44" s="84"/>
      <c r="D44" s="92">
        <f aca="true" t="shared" si="9" ref="D44:J44">+D42*$M$21/$O23</f>
        <v>3.7171033531155957</v>
      </c>
      <c r="E44" s="92">
        <f t="shared" si="9"/>
        <v>5.737320273149668</v>
      </c>
      <c r="F44" s="92">
        <f t="shared" si="9"/>
        <v>1.1187570550457913</v>
      </c>
      <c r="G44" s="92">
        <f t="shared" si="9"/>
        <v>0.04134879409115722</v>
      </c>
      <c r="H44" s="92">
        <f t="shared" si="9"/>
        <v>0.6616190021506239</v>
      </c>
      <c r="I44" s="92">
        <f t="shared" si="9"/>
        <v>0.029350030037947058</v>
      </c>
      <c r="J44" s="92">
        <f t="shared" si="9"/>
        <v>0.01467501501897353</v>
      </c>
      <c r="K44" s="84"/>
      <c r="L44" s="84"/>
      <c r="M44" s="86"/>
      <c r="N44" s="93"/>
      <c r="O44" s="6"/>
      <c r="P44" s="6"/>
      <c r="Q44" s="107"/>
      <c r="R44" s="6"/>
      <c r="S44" s="6"/>
    </row>
    <row r="45" spans="1:19" ht="12.75">
      <c r="A45" s="84"/>
      <c r="B45" s="84"/>
      <c r="C45" s="84"/>
      <c r="D45" s="92"/>
      <c r="E45" s="92"/>
      <c r="F45" s="92"/>
      <c r="G45" s="92"/>
      <c r="H45" s="92"/>
      <c r="I45" s="92"/>
      <c r="J45" s="92"/>
      <c r="K45" s="84"/>
      <c r="L45" s="84"/>
      <c r="M45" s="86"/>
      <c r="N45" s="93"/>
      <c r="O45" s="6"/>
      <c r="P45" s="6"/>
      <c r="Q45" s="107"/>
      <c r="R45" s="6"/>
      <c r="S45" s="6"/>
    </row>
    <row r="46" spans="1:19" ht="12.75">
      <c r="A46" s="84"/>
      <c r="B46" s="84"/>
      <c r="C46" s="84"/>
      <c r="D46" s="92"/>
      <c r="E46" s="92"/>
      <c r="F46" s="92"/>
      <c r="G46" s="92"/>
      <c r="H46" s="92"/>
      <c r="I46" s="92"/>
      <c r="J46" s="92"/>
      <c r="K46" s="84"/>
      <c r="L46" s="84"/>
      <c r="M46" s="86"/>
      <c r="N46" s="93"/>
      <c r="O46" s="6"/>
      <c r="P46" s="6"/>
      <c r="Q46" s="107"/>
      <c r="R46" s="6"/>
      <c r="S46" s="6"/>
    </row>
    <row r="47" spans="1:19" ht="12.75">
      <c r="A47" s="84"/>
      <c r="B47" s="84"/>
      <c r="C47" s="84"/>
      <c r="D47" s="121" t="s">
        <v>87</v>
      </c>
      <c r="E47" s="92"/>
      <c r="F47" s="92"/>
      <c r="G47" s="92"/>
      <c r="H47" s="92"/>
      <c r="I47" s="92"/>
      <c r="J47" s="92"/>
      <c r="K47" s="84"/>
      <c r="L47" s="84"/>
      <c r="M47" s="86"/>
      <c r="N47" s="93"/>
      <c r="O47" s="6"/>
      <c r="P47" s="6"/>
      <c r="Q47" s="107"/>
      <c r="R47" s="6"/>
      <c r="S47" s="6"/>
    </row>
    <row r="48" spans="1:19" ht="12.75">
      <c r="A48" s="6"/>
      <c r="B48" s="6"/>
      <c r="C48" s="6"/>
      <c r="D48" s="102" t="s">
        <v>79</v>
      </c>
      <c r="E48" s="102" t="s">
        <v>80</v>
      </c>
      <c r="F48" s="118"/>
      <c r="G48" s="102" t="s">
        <v>81</v>
      </c>
      <c r="H48" s="119"/>
      <c r="I48" s="102" t="s">
        <v>82</v>
      </c>
      <c r="J48" s="102" t="s">
        <v>83</v>
      </c>
      <c r="L48" s="6"/>
      <c r="M48" s="6"/>
      <c r="N48" s="93"/>
      <c r="O48" s="127" t="s">
        <v>88</v>
      </c>
      <c r="P48" s="6"/>
      <c r="R48" s="6"/>
      <c r="S48" s="6"/>
    </row>
    <row r="49" spans="1:17" ht="12.75">
      <c r="A49" s="88">
        <v>1</v>
      </c>
      <c r="B49" s="84" t="str">
        <f>+B9</f>
        <v>Ammonia 25%</v>
      </c>
      <c r="D49" s="116">
        <f aca="true" t="shared" si="10" ref="D49:D58">IF(Q9="klasse 2",N9,0)</f>
        <v>0</v>
      </c>
      <c r="E49" s="116">
        <f aca="true" t="shared" si="11" ref="E49:E58">IF(Q9="klasse 3",N9,0)</f>
        <v>0</v>
      </c>
      <c r="F49" s="113"/>
      <c r="G49" s="116">
        <f aca="true" t="shared" si="12" ref="G49:G58">IF(Q9="klasse 6.1 vg I",N9,0)</f>
        <v>0</v>
      </c>
      <c r="H49" s="113"/>
      <c r="I49" s="116">
        <f aca="true" t="shared" si="13" ref="I49:I58">IF(Q9="klasse 6.1 vg II",N9,0)</f>
        <v>0</v>
      </c>
      <c r="J49" s="116">
        <f aca="true" t="shared" si="14" ref="J49:J58">IF(Q9="overige",N9,0)</f>
        <v>50</v>
      </c>
      <c r="K49" s="113"/>
      <c r="L49" s="113"/>
      <c r="M49" s="114" t="str">
        <f>+Q9</f>
        <v>overige</v>
      </c>
      <c r="O49" s="114" t="s">
        <v>79</v>
      </c>
      <c r="P49" s="113"/>
      <c r="Q49" s="113"/>
    </row>
    <row r="50" spans="1:17" ht="12.75">
      <c r="A50" s="88">
        <v>2</v>
      </c>
      <c r="B50" s="84" t="str">
        <f aca="true" t="shared" si="15" ref="B50:B58">+B10</f>
        <v>Dichlobenil</v>
      </c>
      <c r="D50" s="116">
        <f t="shared" si="10"/>
        <v>0</v>
      </c>
      <c r="E50" s="116">
        <f t="shared" si="11"/>
        <v>0</v>
      </c>
      <c r="F50" s="113"/>
      <c r="G50" s="116">
        <f t="shared" si="12"/>
        <v>0</v>
      </c>
      <c r="H50" s="113"/>
      <c r="I50" s="116">
        <f t="shared" si="13"/>
        <v>0</v>
      </c>
      <c r="J50" s="116">
        <f t="shared" si="14"/>
        <v>100</v>
      </c>
      <c r="K50" s="113"/>
      <c r="L50" s="113"/>
      <c r="M50" s="114" t="str">
        <f aca="true" t="shared" si="16" ref="M50:M58">+Q10</f>
        <v>overige</v>
      </c>
      <c r="O50" s="114" t="s">
        <v>80</v>
      </c>
      <c r="P50" s="113"/>
      <c r="Q50" s="113"/>
    </row>
    <row r="51" spans="1:19" ht="12.75">
      <c r="A51" s="88">
        <v>3</v>
      </c>
      <c r="B51" s="84" t="str">
        <f t="shared" si="15"/>
        <v>Ethanol</v>
      </c>
      <c r="C51" s="6"/>
      <c r="D51" s="116">
        <f t="shared" si="10"/>
        <v>0</v>
      </c>
      <c r="E51" s="116">
        <f t="shared" si="11"/>
        <v>150</v>
      </c>
      <c r="F51" s="113"/>
      <c r="G51" s="116">
        <f t="shared" si="12"/>
        <v>0</v>
      </c>
      <c r="H51" s="113"/>
      <c r="I51" s="116">
        <f t="shared" si="13"/>
        <v>0</v>
      </c>
      <c r="J51" s="116">
        <f t="shared" si="14"/>
        <v>0</v>
      </c>
      <c r="K51" s="112"/>
      <c r="L51" s="112"/>
      <c r="M51" s="114" t="str">
        <f t="shared" si="16"/>
        <v>klasse 3</v>
      </c>
      <c r="O51" s="114" t="s">
        <v>81</v>
      </c>
      <c r="P51" s="112"/>
      <c r="Q51" s="112"/>
      <c r="R51" s="6"/>
      <c r="S51" s="6"/>
    </row>
    <row r="52" spans="1:19" ht="12.75">
      <c r="A52" s="88">
        <v>4</v>
      </c>
      <c r="B52" s="84" t="str">
        <f t="shared" si="15"/>
        <v>Ethoprophos</v>
      </c>
      <c r="C52" s="6"/>
      <c r="D52" s="116">
        <f t="shared" si="10"/>
        <v>0</v>
      </c>
      <c r="E52" s="116">
        <f t="shared" si="11"/>
        <v>0</v>
      </c>
      <c r="F52" s="113"/>
      <c r="G52" s="116">
        <f t="shared" si="12"/>
        <v>200</v>
      </c>
      <c r="H52" s="113"/>
      <c r="I52" s="116">
        <f t="shared" si="13"/>
        <v>0</v>
      </c>
      <c r="J52" s="116">
        <f t="shared" si="14"/>
        <v>0</v>
      </c>
      <c r="K52" s="112"/>
      <c r="L52" s="112"/>
      <c r="M52" s="114" t="str">
        <f t="shared" si="16"/>
        <v>klasse 6.1 vg I</v>
      </c>
      <c r="O52" s="114" t="s">
        <v>82</v>
      </c>
      <c r="P52" s="112"/>
      <c r="Q52" s="112"/>
      <c r="R52" s="6"/>
      <c r="S52" s="6"/>
    </row>
    <row r="53" spans="1:19" ht="12.75">
      <c r="A53" s="88">
        <v>5</v>
      </c>
      <c r="B53" s="84" t="str">
        <f t="shared" si="15"/>
        <v>TDI</v>
      </c>
      <c r="C53" s="6"/>
      <c r="D53" s="116">
        <f t="shared" si="10"/>
        <v>0</v>
      </c>
      <c r="E53" s="116">
        <f t="shared" si="11"/>
        <v>0</v>
      </c>
      <c r="F53" s="113"/>
      <c r="G53" s="116">
        <f t="shared" si="12"/>
        <v>0</v>
      </c>
      <c r="H53" s="113"/>
      <c r="I53" s="116">
        <f t="shared" si="13"/>
        <v>250</v>
      </c>
      <c r="J53" s="116">
        <f t="shared" si="14"/>
        <v>0</v>
      </c>
      <c r="K53" s="112"/>
      <c r="L53" s="112"/>
      <c r="M53" s="114" t="str">
        <f t="shared" si="16"/>
        <v>klasse 6.1 vg II</v>
      </c>
      <c r="O53" s="114" t="s">
        <v>83</v>
      </c>
      <c r="P53" s="112"/>
      <c r="Q53" s="112"/>
      <c r="R53" s="6"/>
      <c r="S53" s="6"/>
    </row>
    <row r="54" spans="1:17" ht="12.75">
      <c r="A54" s="88">
        <v>6</v>
      </c>
      <c r="B54" s="84">
        <f t="shared" si="15"/>
        <v>0</v>
      </c>
      <c r="D54" s="116">
        <f t="shared" si="10"/>
        <v>0</v>
      </c>
      <c r="E54" s="116">
        <f t="shared" si="11"/>
        <v>0</v>
      </c>
      <c r="F54" s="113"/>
      <c r="G54" s="116">
        <f t="shared" si="12"/>
        <v>0</v>
      </c>
      <c r="H54" s="113"/>
      <c r="I54" s="116">
        <f t="shared" si="13"/>
        <v>0</v>
      </c>
      <c r="J54" s="116">
        <f t="shared" si="14"/>
        <v>0</v>
      </c>
      <c r="K54" s="113"/>
      <c r="L54" s="113"/>
      <c r="M54" s="114" t="str">
        <f t="shared" si="16"/>
        <v>overige</v>
      </c>
      <c r="N54" s="113"/>
      <c r="P54" s="113"/>
      <c r="Q54" s="113"/>
    </row>
    <row r="55" spans="1:17" ht="12.75">
      <c r="A55" s="88">
        <v>7</v>
      </c>
      <c r="B55" s="84">
        <f t="shared" si="15"/>
        <v>0</v>
      </c>
      <c r="D55" s="116">
        <f t="shared" si="10"/>
        <v>0</v>
      </c>
      <c r="E55" s="116">
        <f t="shared" si="11"/>
        <v>0</v>
      </c>
      <c r="F55" s="113"/>
      <c r="G55" s="116">
        <f t="shared" si="12"/>
        <v>0</v>
      </c>
      <c r="H55" s="113"/>
      <c r="I55" s="116">
        <f t="shared" si="13"/>
        <v>0</v>
      </c>
      <c r="J55" s="116">
        <f t="shared" si="14"/>
        <v>0</v>
      </c>
      <c r="K55" s="113"/>
      <c r="L55" s="113"/>
      <c r="M55" s="114" t="str">
        <f t="shared" si="16"/>
        <v>overige</v>
      </c>
      <c r="N55" s="113"/>
      <c r="P55" s="113"/>
      <c r="Q55" s="113"/>
    </row>
    <row r="56" spans="1:17" ht="12.75">
      <c r="A56" s="88">
        <v>8</v>
      </c>
      <c r="B56" s="84">
        <f t="shared" si="15"/>
        <v>0</v>
      </c>
      <c r="D56" s="116">
        <f t="shared" si="10"/>
        <v>0</v>
      </c>
      <c r="E56" s="116">
        <f t="shared" si="11"/>
        <v>0</v>
      </c>
      <c r="F56" s="113"/>
      <c r="G56" s="116">
        <f t="shared" si="12"/>
        <v>0</v>
      </c>
      <c r="H56" s="113"/>
      <c r="I56" s="116">
        <f t="shared" si="13"/>
        <v>0</v>
      </c>
      <c r="J56" s="116">
        <f t="shared" si="14"/>
        <v>0</v>
      </c>
      <c r="K56" s="113"/>
      <c r="L56" s="113"/>
      <c r="M56" s="114" t="str">
        <f t="shared" si="16"/>
        <v>overige</v>
      </c>
      <c r="N56" s="113"/>
      <c r="O56" s="113"/>
      <c r="P56" s="113"/>
      <c r="Q56" s="113"/>
    </row>
    <row r="57" spans="1:17" ht="12.75">
      <c r="A57" s="88">
        <v>9</v>
      </c>
      <c r="B57" s="84">
        <f t="shared" si="15"/>
        <v>0</v>
      </c>
      <c r="D57" s="116">
        <f t="shared" si="10"/>
        <v>0</v>
      </c>
      <c r="E57" s="116">
        <f t="shared" si="11"/>
        <v>0</v>
      </c>
      <c r="F57" s="113"/>
      <c r="G57" s="116">
        <f t="shared" si="12"/>
        <v>0</v>
      </c>
      <c r="H57" s="113"/>
      <c r="I57" s="116">
        <f t="shared" si="13"/>
        <v>0</v>
      </c>
      <c r="J57" s="116">
        <f t="shared" si="14"/>
        <v>0</v>
      </c>
      <c r="K57" s="113"/>
      <c r="L57" s="113"/>
      <c r="M57" s="114" t="str">
        <f t="shared" si="16"/>
        <v>overige</v>
      </c>
      <c r="N57" s="113"/>
      <c r="O57" s="113"/>
      <c r="P57" s="113"/>
      <c r="Q57" s="113"/>
    </row>
    <row r="58" spans="1:17" ht="12.75">
      <c r="A58" s="88">
        <v>10</v>
      </c>
      <c r="B58" s="84">
        <f t="shared" si="15"/>
        <v>0</v>
      </c>
      <c r="D58" s="116">
        <f t="shared" si="10"/>
        <v>0</v>
      </c>
      <c r="E58" s="116">
        <f t="shared" si="11"/>
        <v>0</v>
      </c>
      <c r="F58" s="113"/>
      <c r="G58" s="116">
        <f t="shared" si="12"/>
        <v>0</v>
      </c>
      <c r="H58" s="113"/>
      <c r="I58" s="116">
        <f t="shared" si="13"/>
        <v>0</v>
      </c>
      <c r="J58" s="116">
        <f t="shared" si="14"/>
        <v>0</v>
      </c>
      <c r="K58" s="113"/>
      <c r="L58" s="113"/>
      <c r="M58" s="114" t="str">
        <f t="shared" si="16"/>
        <v>overige</v>
      </c>
      <c r="N58" s="113"/>
      <c r="O58" s="113"/>
      <c r="P58" s="113"/>
      <c r="Q58" s="113"/>
    </row>
    <row r="59" spans="3:11" ht="12.75">
      <c r="C59" s="107" t="s">
        <v>62</v>
      </c>
      <c r="D59" s="120">
        <f>SUM(D49:D58)</f>
        <v>0</v>
      </c>
      <c r="E59" s="120">
        <f>SUM(E49:E58)</f>
        <v>150</v>
      </c>
      <c r="F59" s="107"/>
      <c r="G59" s="120">
        <f>SUM(G49:G58)</f>
        <v>200</v>
      </c>
      <c r="H59" s="107"/>
      <c r="I59" s="120">
        <f>SUM(I49:I58)</f>
        <v>250</v>
      </c>
      <c r="J59" s="120">
        <f>SUM(J49:J58)</f>
        <v>150</v>
      </c>
      <c r="K59" s="123" t="s">
        <v>63</v>
      </c>
    </row>
    <row r="60" spans="3:11" ht="12.75">
      <c r="C60" s="107" t="s">
        <v>77</v>
      </c>
      <c r="D60" s="124">
        <f>+D59/$N21</f>
        <v>0</v>
      </c>
      <c r="E60" s="125">
        <f>+E59/$N21</f>
        <v>0.2</v>
      </c>
      <c r="F60" s="126"/>
      <c r="G60" s="125">
        <f>+G59/$N21</f>
        <v>0.26666666666666666</v>
      </c>
      <c r="H60" s="126"/>
      <c r="I60" s="125">
        <f>+I59/$N21</f>
        <v>0.3333333333333333</v>
      </c>
      <c r="J60" s="124">
        <f>+J59/$N21</f>
        <v>0.2</v>
      </c>
      <c r="K60" s="123" t="s">
        <v>17</v>
      </c>
    </row>
    <row r="61" spans="3:11" ht="12.75">
      <c r="C61" s="114" t="s">
        <v>49</v>
      </c>
      <c r="G61" s="132">
        <f>+(G49*$O9+G50*$O10+G51*$O11+G52*$O12+G53*$O13+G54*$O14+G55*$O15+G56*$O16+G57*$O17+G58*$O18)/G59</f>
        <v>0.1</v>
      </c>
      <c r="H61" s="133"/>
      <c r="I61" s="132">
        <f>+(I49*$O9+I50*$O10+I51*$O11+I52*$O12+I53*$O13+I54*$O14+I55*$O15+I56*$O16+I57*$O17+I58*$O18)/I59</f>
        <v>1</v>
      </c>
      <c r="K61" s="123"/>
    </row>
    <row r="62" spans="3:11" ht="12.75">
      <c r="C62" s="107"/>
      <c r="K62" s="123"/>
    </row>
    <row r="63" spans="3:11" ht="12.75">
      <c r="C63" s="107" t="s">
        <v>22</v>
      </c>
      <c r="D63" s="122">
        <v>0.1</v>
      </c>
      <c r="E63" s="122">
        <v>0.1</v>
      </c>
      <c r="F63" s="115"/>
      <c r="G63" s="122">
        <v>0.025</v>
      </c>
      <c r="H63" s="115"/>
      <c r="I63" s="122">
        <v>0.025</v>
      </c>
      <c r="J63" s="122">
        <v>0.025</v>
      </c>
      <c r="K63" s="117" t="s">
        <v>85</v>
      </c>
    </row>
    <row r="64" spans="3:5" ht="12.75">
      <c r="C64" s="107" t="s">
        <v>84</v>
      </c>
      <c r="D64" s="101">
        <f>+((D59+E59)*E63+(G59+I59+J59)*J63)/N21</f>
        <v>0.04</v>
      </c>
      <c r="E64" s="117" t="s">
        <v>85</v>
      </c>
    </row>
  </sheetData>
  <sheetProtection sheet="1" objects="1" scenarios="1"/>
  <mergeCells count="2">
    <mergeCell ref="H1:I1"/>
    <mergeCell ref="Q7:R7"/>
  </mergeCells>
  <dataValidations count="1">
    <dataValidation type="list" allowBlank="1" showInputMessage="1" showErrorMessage="1" sqref="Q9:Q18">
      <formula1>$O$49:$O$53</formula1>
    </dataValidation>
  </dataValidations>
  <printOptions/>
  <pageMargins left="0.75" right="0.75" top="1" bottom="1" header="0.5" footer="0.5"/>
  <pageSetup fitToHeight="1" fitToWidth="1" horizontalDpi="600" verticalDpi="600" orientation="landscape" scale="56" r:id="rId2"/>
  <headerFooter alignWithMargins="0">
    <oddHeader>&amp;C&amp;"Arial,Regular"&amp;A</oddHeader>
    <oddFooter>&amp;L&amp;"Arial,Regular"RIVM / Centrum Externe Veiligheid&amp;C&amp;"Arial,Regular"24 juli 2008&amp;R&amp;"Arial,Regular"Page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PageLayoutView="0" workbookViewId="0" topLeftCell="A1">
      <selection activeCell="C12" sqref="C12"/>
    </sheetView>
  </sheetViews>
  <sheetFormatPr defaultColWidth="9.33203125" defaultRowHeight="12.75"/>
  <cols>
    <col min="1" max="15" width="12.83203125" style="6" customWidth="1"/>
    <col min="16" max="16" width="9.33203125" style="6" customWidth="1"/>
    <col min="17" max="17" width="10" style="6" bestFit="1" customWidth="1"/>
    <col min="18" max="16384" width="9.33203125" style="6" customWidth="1"/>
  </cols>
  <sheetData>
    <row r="1" spans="2:15" ht="20.25">
      <c r="B1" s="35"/>
      <c r="C1" s="34" t="s">
        <v>40</v>
      </c>
      <c r="D1" s="34"/>
      <c r="E1" s="105"/>
      <c r="F1" s="105"/>
      <c r="G1" s="185">
        <f>+'Bepaling samenstelling'!H1</f>
        <v>39857</v>
      </c>
      <c r="H1" s="191"/>
      <c r="I1" s="35"/>
      <c r="J1" s="35"/>
      <c r="K1" s="35"/>
      <c r="L1" s="35"/>
      <c r="M1" s="35"/>
      <c r="N1" s="35"/>
      <c r="O1" s="35"/>
    </row>
    <row r="2" spans="1:15" ht="12.75" customHeight="1">
      <c r="A2" s="110"/>
      <c r="B2" s="111"/>
      <c r="C2" s="159" t="s">
        <v>104</v>
      </c>
      <c r="D2"/>
      <c r="E2"/>
      <c r="F2"/>
      <c r="G2"/>
      <c r="H2"/>
      <c r="I2"/>
      <c r="J2" s="111"/>
      <c r="K2" s="111"/>
      <c r="L2" s="111"/>
      <c r="M2" s="111"/>
      <c r="N2" s="111"/>
      <c r="O2" s="111"/>
    </row>
    <row r="3" spans="1:15" ht="12.75" customHeight="1">
      <c r="A3" s="110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5" ht="15.75">
      <c r="A4" s="5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</row>
    <row r="5" spans="1:15" ht="12.7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2.75">
      <c r="A6" s="7"/>
      <c r="B6" s="8" t="s">
        <v>1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</row>
    <row r="7" spans="1:15" ht="12.75">
      <c r="A7" s="10"/>
      <c r="B7" s="11" t="s">
        <v>2</v>
      </c>
      <c r="C7" s="11" t="s">
        <v>3</v>
      </c>
      <c r="D7" s="11" t="s">
        <v>4</v>
      </c>
      <c r="E7" s="11" t="s">
        <v>5</v>
      </c>
      <c r="F7" s="11" t="s">
        <v>6</v>
      </c>
      <c r="G7" s="11" t="s">
        <v>7</v>
      </c>
      <c r="H7" s="11" t="s">
        <v>48</v>
      </c>
      <c r="I7" s="8"/>
      <c r="J7" s="8" t="s">
        <v>8</v>
      </c>
      <c r="K7" s="8"/>
      <c r="L7" s="8"/>
      <c r="M7" s="8"/>
      <c r="N7" s="8"/>
      <c r="O7" s="9"/>
    </row>
    <row r="8" spans="1:15" ht="12.75">
      <c r="A8" s="7"/>
      <c r="B8" s="161">
        <f>+'Bepaling samenstelling'!D21</f>
        <v>3.7171033531155957</v>
      </c>
      <c r="C8" s="161">
        <f>+'Bepaling samenstelling'!E21</f>
        <v>5.737320273149668</v>
      </c>
      <c r="D8" s="161">
        <f>+'Bepaling samenstelling'!F21</f>
        <v>1.1187570550457913</v>
      </c>
      <c r="E8" s="161">
        <f>+'Bepaling samenstelling'!G21</f>
        <v>0.04134879409115722</v>
      </c>
      <c r="F8" s="161">
        <f>+'Bepaling samenstelling'!H21</f>
        <v>0.6616190021506239</v>
      </c>
      <c r="G8" s="161">
        <f>+'Bepaling samenstelling'!I21</f>
        <v>0.029350030037947058</v>
      </c>
      <c r="H8" s="161">
        <f>+'Bepaling samenstelling'!J21</f>
        <v>0.01467501501897353</v>
      </c>
      <c r="I8" s="8"/>
      <c r="J8" s="13">
        <f>+'Bepaling samenstelling'!M21</f>
        <v>80.45628713580179</v>
      </c>
      <c r="K8" s="8" t="s">
        <v>9</v>
      </c>
      <c r="L8" s="8"/>
      <c r="M8" s="8"/>
      <c r="N8" s="8"/>
      <c r="O8" s="9"/>
    </row>
    <row r="9" spans="1:15" ht="12.75">
      <c r="A9" s="136" t="s">
        <v>66</v>
      </c>
      <c r="B9" s="137">
        <v>12.01</v>
      </c>
      <c r="C9" s="138">
        <v>1.008</v>
      </c>
      <c r="D9" s="137">
        <v>16</v>
      </c>
      <c r="E9" s="137">
        <v>35.45</v>
      </c>
      <c r="F9" s="137">
        <v>14.01</v>
      </c>
      <c r="G9" s="137">
        <v>32.06</v>
      </c>
      <c r="H9" s="137">
        <v>30.97</v>
      </c>
      <c r="I9" s="8"/>
      <c r="J9" s="44"/>
      <c r="K9" s="8"/>
      <c r="L9" s="8"/>
      <c r="M9" s="8"/>
      <c r="N9" s="8"/>
      <c r="O9" s="9"/>
    </row>
    <row r="10" spans="1:15" ht="12.7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9"/>
    </row>
    <row r="11" spans="1:15" ht="12.75">
      <c r="A11" s="7" t="s">
        <v>10</v>
      </c>
      <c r="B11" s="8"/>
      <c r="C11" s="162">
        <f>+'Bepaling samenstelling'!O21</f>
        <v>0.6033333333333334</v>
      </c>
      <c r="D11" s="8"/>
      <c r="E11" s="3" t="s">
        <v>11</v>
      </c>
      <c r="F11" s="8"/>
      <c r="G11" s="62">
        <f>C11*100</f>
        <v>60.333333333333336</v>
      </c>
      <c r="H11" s="3" t="s">
        <v>12</v>
      </c>
      <c r="I11" s="8"/>
      <c r="J11" s="8"/>
      <c r="K11" s="8"/>
      <c r="L11" s="8"/>
      <c r="M11" s="8"/>
      <c r="N11" s="8"/>
      <c r="O11" s="9"/>
    </row>
    <row r="12" spans="1:15" ht="12.75">
      <c r="A12" s="7" t="s">
        <v>13</v>
      </c>
      <c r="B12" s="8"/>
      <c r="C12" s="163">
        <f>+J8</f>
        <v>80.45628713580179</v>
      </c>
      <c r="D12" s="37" t="s">
        <v>41</v>
      </c>
      <c r="E12" s="3"/>
      <c r="F12" s="8"/>
      <c r="G12" s="8"/>
      <c r="H12" s="8"/>
      <c r="I12" s="8"/>
      <c r="J12" s="8"/>
      <c r="K12" s="8"/>
      <c r="L12" s="8"/>
      <c r="M12" s="3"/>
      <c r="N12" s="3"/>
      <c r="O12" s="49"/>
    </row>
    <row r="13" spans="1:15" ht="12.75">
      <c r="A13" s="7" t="s">
        <v>14</v>
      </c>
      <c r="B13" s="8"/>
      <c r="C13" s="38">
        <v>0.1</v>
      </c>
      <c r="D13" s="8"/>
      <c r="E13" s="8"/>
      <c r="F13" s="8"/>
      <c r="G13" s="8"/>
      <c r="H13" s="8"/>
      <c r="I13" s="32"/>
      <c r="J13" s="33"/>
      <c r="K13" s="33"/>
      <c r="L13" s="8"/>
      <c r="M13" s="50" t="s">
        <v>42</v>
      </c>
      <c r="N13" s="50" t="s">
        <v>43</v>
      </c>
      <c r="O13" s="52" t="s">
        <v>44</v>
      </c>
    </row>
    <row r="14" spans="1:15" ht="14.25">
      <c r="A14" s="12" t="s">
        <v>15</v>
      </c>
      <c r="B14" s="8"/>
      <c r="C14" s="164">
        <f>+'Bepaling samenstelling'!D64</f>
        <v>0.04</v>
      </c>
      <c r="D14" s="8" t="s">
        <v>35</v>
      </c>
      <c r="E14" s="57"/>
      <c r="F14" s="96" t="s">
        <v>101</v>
      </c>
      <c r="G14" s="135">
        <f>+'Bepaling samenstelling'!R21</f>
        <v>0.2</v>
      </c>
      <c r="H14" s="8"/>
      <c r="I14" s="32"/>
      <c r="J14" s="33"/>
      <c r="K14" s="8"/>
      <c r="L14" s="32" t="s">
        <v>45</v>
      </c>
      <c r="M14" s="104">
        <f>((F8*F9*C11)/C12)*100</f>
        <v>6.950938377306773</v>
      </c>
      <c r="N14" s="104">
        <f>((G8*G9*C11)/C12)*100</f>
        <v>0.7056175942203626</v>
      </c>
      <c r="O14" s="104">
        <f>((E8*E9*C11)/C12)*100</f>
        <v>1.0991992434284477</v>
      </c>
    </row>
    <row r="15" spans="1:15" ht="15.75">
      <c r="A15" s="7" t="s">
        <v>16</v>
      </c>
      <c r="B15" s="8"/>
      <c r="C15" s="44">
        <f>B8+MAX(C8-E8,0)/4+C13*F8+G8-D8/2</f>
        <v>4.677229625610338</v>
      </c>
      <c r="D15" s="8" t="s">
        <v>36</v>
      </c>
      <c r="E15" s="8"/>
      <c r="F15" s="8"/>
      <c r="G15" s="8"/>
      <c r="H15" s="8"/>
      <c r="I15" s="8"/>
      <c r="J15" s="8"/>
      <c r="K15" s="8"/>
      <c r="L15" s="8"/>
      <c r="M15" s="42"/>
      <c r="N15" s="42"/>
      <c r="O15" s="66" t="str">
        <f>IF(N14&lt;=M14,+IF(O14&gt;M14,"PAS OP: zwavel- of chloorgehalte &gt; stikstofgehalte","-"),"PAS OP: zwavel- of chloorgehalte &gt; stikstofgehalte")</f>
        <v>-</v>
      </c>
    </row>
    <row r="16" spans="1:15" ht="12.7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32"/>
      <c r="M16" s="8"/>
      <c r="N16" s="8"/>
      <c r="O16" s="9"/>
    </row>
    <row r="17" spans="1:17" ht="15.75">
      <c r="A17" s="14" t="s">
        <v>18</v>
      </c>
      <c r="B17" s="15" t="s">
        <v>19</v>
      </c>
      <c r="C17" s="16" t="s">
        <v>20</v>
      </c>
      <c r="D17" s="169"/>
      <c r="E17" s="17" t="s">
        <v>68</v>
      </c>
      <c r="F17" s="18"/>
      <c r="G17" s="19" t="s">
        <v>69</v>
      </c>
      <c r="H17" s="18"/>
      <c r="I17" s="19" t="s">
        <v>23</v>
      </c>
      <c r="J17" s="18"/>
      <c r="K17" s="18" t="s">
        <v>24</v>
      </c>
      <c r="L17" s="18"/>
      <c r="M17" s="20"/>
      <c r="N17" s="21" t="s">
        <v>75</v>
      </c>
      <c r="O17" s="22"/>
      <c r="Q17" s="65" t="s">
        <v>17</v>
      </c>
    </row>
    <row r="18" spans="1:15" ht="15.75">
      <c r="A18" s="10" t="s">
        <v>26</v>
      </c>
      <c r="B18" s="23" t="s">
        <v>27</v>
      </c>
      <c r="C18" s="4" t="s">
        <v>28</v>
      </c>
      <c r="D18" s="170"/>
      <c r="E18" s="12" t="s">
        <v>70</v>
      </c>
      <c r="F18" s="8"/>
      <c r="G18" s="24" t="s">
        <v>71</v>
      </c>
      <c r="H18" s="8"/>
      <c r="I18" s="24" t="s">
        <v>72</v>
      </c>
      <c r="J18" s="8"/>
      <c r="K18" s="8"/>
      <c r="L18" s="8"/>
      <c r="M18" s="48" t="s">
        <v>30</v>
      </c>
      <c r="N18" s="48" t="s">
        <v>31</v>
      </c>
      <c r="O18" s="48" t="s">
        <v>32</v>
      </c>
    </row>
    <row r="19" spans="1:15" ht="14.25">
      <c r="A19" s="25" t="s">
        <v>38</v>
      </c>
      <c r="B19" s="26" t="s">
        <v>33</v>
      </c>
      <c r="C19" s="27" t="s">
        <v>39</v>
      </c>
      <c r="D19" s="170"/>
      <c r="E19" s="39" t="s">
        <v>34</v>
      </c>
      <c r="F19" s="8"/>
      <c r="G19" s="32" t="s">
        <v>34</v>
      </c>
      <c r="H19" s="8"/>
      <c r="I19" s="32" t="s">
        <v>34</v>
      </c>
      <c r="J19" s="8"/>
      <c r="K19" s="37"/>
      <c r="L19" s="96" t="s">
        <v>74</v>
      </c>
      <c r="M19" s="97">
        <f>+F9+D9*2</f>
        <v>46.01</v>
      </c>
      <c r="N19" s="97">
        <f>+G9+D9*2</f>
        <v>64.06</v>
      </c>
      <c r="O19" s="97">
        <f>+C9+E9</f>
        <v>36.458000000000006</v>
      </c>
    </row>
    <row r="20" spans="1:15" ht="12.75">
      <c r="A20" s="155">
        <v>20</v>
      </c>
      <c r="B20" s="155">
        <v>4</v>
      </c>
      <c r="C20" s="155">
        <v>3600</v>
      </c>
      <c r="D20" s="170"/>
      <c r="E20" s="54">
        <f>C14*A20</f>
        <v>0.8</v>
      </c>
      <c r="F20" s="18" t="s">
        <v>17</v>
      </c>
      <c r="G20" s="55">
        <f>C12*0.2/C15*((2+B20)*C20)/(24*3600)</f>
        <v>0.8600848533847955</v>
      </c>
      <c r="H20" s="18"/>
      <c r="I20" s="55">
        <f aca="true" t="shared" si="0" ref="I20:I28">MIN(E20,G20)</f>
        <v>0.8</v>
      </c>
      <c r="J20" s="18"/>
      <c r="K20" s="19" t="str">
        <f aca="true" t="shared" si="1" ref="K20:K28">IF(E20&lt;G20,"oppervlakte beperkt","zuurstof beperkt")</f>
        <v>oppervlakte beperkt</v>
      </c>
      <c r="L20" s="56"/>
      <c r="M20" s="47">
        <f>C$11*F$8*M$19*C$13*I20/C$12</f>
        <v>0.018261965723904906</v>
      </c>
      <c r="N20" s="47">
        <f aca="true" t="shared" si="2" ref="N20:N28">C$11*G$8*N$19*I20/C$12</f>
        <v>0.011279317051966668</v>
      </c>
      <c r="O20" s="47">
        <f aca="true" t="shared" si="3" ref="O20:O28">C$11*E$8*O$19*I20/C$12</f>
        <v>0.009043634644155566</v>
      </c>
    </row>
    <row r="21" spans="1:15" ht="12.75">
      <c r="A21" s="155">
        <v>50</v>
      </c>
      <c r="B21" s="155">
        <v>4</v>
      </c>
      <c r="C21" s="155">
        <v>3600</v>
      </c>
      <c r="D21" s="170"/>
      <c r="E21" s="45">
        <f aca="true" t="shared" si="4" ref="E21:E28">C$14*A21</f>
        <v>2</v>
      </c>
      <c r="F21" s="8"/>
      <c r="G21" s="13">
        <f>C12*0.2/C15*((2+B21)*C21)/(24*3600)</f>
        <v>0.8600848533847955</v>
      </c>
      <c r="H21" s="8"/>
      <c r="I21" s="13">
        <f t="shared" si="0"/>
        <v>0.8600848533847955</v>
      </c>
      <c r="J21" s="8"/>
      <c r="K21" s="24" t="str">
        <f t="shared" si="1"/>
        <v>zuurstof beperkt</v>
      </c>
      <c r="L21" s="9"/>
      <c r="M21" s="47">
        <f aca="true" t="shared" si="5" ref="M21:M28">C$11*F$8*M$19*C$13*I21/C$12</f>
        <v>0.019633550140203637</v>
      </c>
      <c r="N21" s="47">
        <f t="shared" si="2"/>
        <v>0.012126462191151719</v>
      </c>
      <c r="O21" s="47">
        <f t="shared" si="3"/>
        <v>0.009722866471230246</v>
      </c>
    </row>
    <row r="22" spans="1:15" ht="12.75">
      <c r="A22" s="155">
        <v>100</v>
      </c>
      <c r="B22" s="155">
        <v>4</v>
      </c>
      <c r="C22" s="155">
        <v>3600</v>
      </c>
      <c r="D22" s="170"/>
      <c r="E22" s="45">
        <f t="shared" si="4"/>
        <v>4</v>
      </c>
      <c r="F22" s="8"/>
      <c r="G22" s="13">
        <f>C12*0.2/C15*((2+B22)*C22)/(24*3600)</f>
        <v>0.8600848533847955</v>
      </c>
      <c r="H22" s="8"/>
      <c r="I22" s="13">
        <f t="shared" si="0"/>
        <v>0.8600848533847955</v>
      </c>
      <c r="J22" s="8"/>
      <c r="K22" s="24" t="str">
        <f t="shared" si="1"/>
        <v>zuurstof beperkt</v>
      </c>
      <c r="L22" s="9"/>
      <c r="M22" s="47">
        <f t="shared" si="5"/>
        <v>0.019633550140203637</v>
      </c>
      <c r="N22" s="47">
        <f t="shared" si="2"/>
        <v>0.012126462191151719</v>
      </c>
      <c r="O22" s="47">
        <f t="shared" si="3"/>
        <v>0.009722866471230246</v>
      </c>
    </row>
    <row r="23" spans="1:15" ht="12.75">
      <c r="A23" s="155">
        <v>300</v>
      </c>
      <c r="B23" s="155">
        <v>4</v>
      </c>
      <c r="C23" s="155">
        <v>3600</v>
      </c>
      <c r="D23" s="170"/>
      <c r="E23" s="45">
        <f t="shared" si="4"/>
        <v>12</v>
      </c>
      <c r="F23" s="8" t="s">
        <v>17</v>
      </c>
      <c r="G23" s="13">
        <f>C$12*0.2/C$15*((2+B23)*C23)/(24*3600)</f>
        <v>0.8600848533847955</v>
      </c>
      <c r="H23" s="8"/>
      <c r="I23" s="13">
        <f t="shared" si="0"/>
        <v>0.8600848533847955</v>
      </c>
      <c r="J23" s="8"/>
      <c r="K23" s="24" t="str">
        <f t="shared" si="1"/>
        <v>zuurstof beperkt</v>
      </c>
      <c r="L23" s="9"/>
      <c r="M23" s="47">
        <f t="shared" si="5"/>
        <v>0.019633550140203637</v>
      </c>
      <c r="N23" s="47">
        <f t="shared" si="2"/>
        <v>0.012126462191151719</v>
      </c>
      <c r="O23" s="47">
        <f>C$11*E$8*O$19*I23/C$12</f>
        <v>0.009722866471230246</v>
      </c>
    </row>
    <row r="24" spans="1:15" ht="12.75">
      <c r="A24" s="155">
        <v>20</v>
      </c>
      <c r="B24" s="155">
        <v>1000</v>
      </c>
      <c r="C24" s="155">
        <v>3600</v>
      </c>
      <c r="D24" s="170"/>
      <c r="E24" s="45">
        <f t="shared" si="4"/>
        <v>0.8</v>
      </c>
      <c r="F24" s="8" t="s">
        <v>17</v>
      </c>
      <c r="G24" s="13">
        <f>C$12*0.2/C$15*((2+B24)*C24)/(24*3600)</f>
        <v>143.63417051526085</v>
      </c>
      <c r="H24" s="8"/>
      <c r="I24" s="13">
        <f t="shared" si="0"/>
        <v>0.8</v>
      </c>
      <c r="J24" s="8"/>
      <c r="K24" s="24" t="str">
        <f t="shared" si="1"/>
        <v>oppervlakte beperkt</v>
      </c>
      <c r="L24" s="9"/>
      <c r="M24" s="47">
        <f t="shared" si="5"/>
        <v>0.018261965723904906</v>
      </c>
      <c r="N24" s="47">
        <f t="shared" si="2"/>
        <v>0.011279317051966668</v>
      </c>
      <c r="O24" s="47">
        <f t="shared" si="3"/>
        <v>0.009043634644155566</v>
      </c>
    </row>
    <row r="25" spans="1:15" ht="12.75">
      <c r="A25" s="155">
        <v>50</v>
      </c>
      <c r="B25" s="155">
        <v>1000</v>
      </c>
      <c r="C25" s="155">
        <v>3600</v>
      </c>
      <c r="D25" s="170"/>
      <c r="E25" s="45">
        <f t="shared" si="4"/>
        <v>2</v>
      </c>
      <c r="F25" s="8" t="s">
        <v>17</v>
      </c>
      <c r="G25" s="13">
        <f>C$12*0.2/C$15*((2+B25)*C25)/(24*3600)</f>
        <v>143.63417051526085</v>
      </c>
      <c r="H25" s="8"/>
      <c r="I25" s="13">
        <f t="shared" si="0"/>
        <v>2</v>
      </c>
      <c r="J25" s="8"/>
      <c r="K25" s="24" t="str">
        <f t="shared" si="1"/>
        <v>oppervlakte beperkt</v>
      </c>
      <c r="L25" s="9"/>
      <c r="M25" s="47">
        <f t="shared" si="5"/>
        <v>0.04565491430976226</v>
      </c>
      <c r="N25" s="47">
        <f t="shared" si="2"/>
        <v>0.02819829262991667</v>
      </c>
      <c r="O25" s="47">
        <f t="shared" si="3"/>
        <v>0.022609086610388913</v>
      </c>
    </row>
    <row r="26" spans="1:15" ht="12.75">
      <c r="A26" s="155">
        <v>100</v>
      </c>
      <c r="B26" s="155">
        <v>1000</v>
      </c>
      <c r="C26" s="155">
        <v>3600</v>
      </c>
      <c r="D26" s="170"/>
      <c r="E26" s="45">
        <f t="shared" si="4"/>
        <v>4</v>
      </c>
      <c r="F26" s="8" t="s">
        <v>17</v>
      </c>
      <c r="G26" s="13">
        <f>C$12*0.2/C$15*((2+B26)*C26)/(24*3600)</f>
        <v>143.63417051526085</v>
      </c>
      <c r="H26" s="8"/>
      <c r="I26" s="13">
        <f t="shared" si="0"/>
        <v>4</v>
      </c>
      <c r="J26" s="8"/>
      <c r="K26" s="24" t="str">
        <f t="shared" si="1"/>
        <v>oppervlakte beperkt</v>
      </c>
      <c r="L26" s="9"/>
      <c r="M26" s="47">
        <f t="shared" si="5"/>
        <v>0.09130982861952452</v>
      </c>
      <c r="N26" s="47">
        <f t="shared" si="2"/>
        <v>0.05639658525983334</v>
      </c>
      <c r="O26" s="47">
        <f t="shared" si="3"/>
        <v>0.04521817322077783</v>
      </c>
    </row>
    <row r="27" spans="1:15" ht="12.75">
      <c r="A27" s="155">
        <v>300</v>
      </c>
      <c r="B27" s="155">
        <v>1000</v>
      </c>
      <c r="C27" s="155">
        <v>3600</v>
      </c>
      <c r="D27" s="170"/>
      <c r="E27" s="45">
        <f t="shared" si="4"/>
        <v>12</v>
      </c>
      <c r="F27" s="8" t="s">
        <v>17</v>
      </c>
      <c r="G27" s="13">
        <f>C$12*0.2/C$15*((2+B27)*C27)/(24*3600)</f>
        <v>143.63417051526085</v>
      </c>
      <c r="H27" s="8"/>
      <c r="I27" s="13">
        <f t="shared" si="0"/>
        <v>12</v>
      </c>
      <c r="J27" s="8"/>
      <c r="K27" s="24" t="str">
        <f t="shared" si="1"/>
        <v>oppervlakte beperkt</v>
      </c>
      <c r="L27" s="9"/>
      <c r="M27" s="47">
        <f t="shared" si="5"/>
        <v>0.2739294858585736</v>
      </c>
      <c r="N27" s="47">
        <f t="shared" si="2"/>
        <v>0.16918975577950002</v>
      </c>
      <c r="O27" s="47">
        <f t="shared" si="3"/>
        <v>0.13565451966233347</v>
      </c>
    </row>
    <row r="28" spans="1:15" ht="12.75">
      <c r="A28" s="155">
        <v>600</v>
      </c>
      <c r="B28" s="155">
        <v>1000</v>
      </c>
      <c r="C28" s="155">
        <v>3600</v>
      </c>
      <c r="D28" s="171"/>
      <c r="E28" s="46">
        <f t="shared" si="4"/>
        <v>24</v>
      </c>
      <c r="F28" s="28"/>
      <c r="G28" s="36">
        <f>C12*0.2/C15*((2+B28)*C28)/(24*3600)</f>
        <v>143.63417051526085</v>
      </c>
      <c r="H28" s="28"/>
      <c r="I28" s="36">
        <f t="shared" si="0"/>
        <v>24</v>
      </c>
      <c r="J28" s="28"/>
      <c r="K28" s="30" t="str">
        <f t="shared" si="1"/>
        <v>oppervlakte beperkt</v>
      </c>
      <c r="L28" s="31"/>
      <c r="M28" s="47">
        <f t="shared" si="5"/>
        <v>0.5478589717171471</v>
      </c>
      <c r="N28" s="47">
        <f t="shared" si="2"/>
        <v>0.33837951155900003</v>
      </c>
      <c r="O28" s="47">
        <f t="shared" si="3"/>
        <v>0.27130903932466693</v>
      </c>
    </row>
    <row r="29" spans="1:15" ht="12.75">
      <c r="A29" s="7"/>
      <c r="B29" s="8"/>
      <c r="C29" s="8"/>
      <c r="D29" s="8"/>
      <c r="E29" s="8" t="s">
        <v>17</v>
      </c>
      <c r="F29" s="8"/>
      <c r="G29" s="8" t="s">
        <v>17</v>
      </c>
      <c r="H29" s="8"/>
      <c r="I29" s="96" t="s">
        <v>73</v>
      </c>
      <c r="J29" s="8"/>
      <c r="K29" s="8"/>
      <c r="L29" s="96"/>
      <c r="M29" s="98"/>
      <c r="N29" s="98"/>
      <c r="O29" s="139"/>
    </row>
    <row r="30" spans="1:15" ht="12.75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96"/>
      <c r="M30" s="98"/>
      <c r="N30" s="98"/>
      <c r="O30" s="139"/>
    </row>
    <row r="31" spans="1:15" ht="12.75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96"/>
      <c r="M31" s="98"/>
      <c r="N31" s="98"/>
      <c r="O31" s="139"/>
    </row>
    <row r="32" spans="1:15" ht="15.75">
      <c r="A32" s="5" t="s">
        <v>65</v>
      </c>
      <c r="B32" s="1"/>
      <c r="C32" s="1"/>
      <c r="D32" s="1"/>
      <c r="E32" s="1"/>
      <c r="F32" s="1"/>
      <c r="G32" s="168" t="s">
        <v>105</v>
      </c>
      <c r="H32" s="1"/>
      <c r="I32" s="1"/>
      <c r="J32" s="1"/>
      <c r="K32" s="1"/>
      <c r="L32" s="1"/>
      <c r="M32" s="1"/>
      <c r="N32" s="1"/>
      <c r="O32" s="2"/>
    </row>
    <row r="33" spans="1:15" ht="12.75">
      <c r="A33" s="172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4"/>
    </row>
    <row r="34" spans="1:15" ht="12.75">
      <c r="A34" s="140" t="s">
        <v>98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8"/>
    </row>
    <row r="35" spans="1:15" ht="12.75">
      <c r="A35" s="141" t="s">
        <v>92</v>
      </c>
      <c r="B35" s="57"/>
      <c r="C35" s="57"/>
      <c r="D35" s="57"/>
      <c r="E35" s="165">
        <v>0.1</v>
      </c>
      <c r="F35" s="142"/>
      <c r="G35" s="57"/>
      <c r="H35" s="57"/>
      <c r="I35" s="57"/>
      <c r="J35" s="57"/>
      <c r="K35" s="57"/>
      <c r="L35" s="57"/>
      <c r="M35" s="57"/>
      <c r="N35" s="175" t="s">
        <v>91</v>
      </c>
      <c r="O35" s="58"/>
    </row>
    <row r="36" spans="1:15" ht="12.75">
      <c r="A36" s="141" t="s">
        <v>93</v>
      </c>
      <c r="B36" s="57"/>
      <c r="C36" s="57"/>
      <c r="D36" s="57"/>
      <c r="E36" s="69">
        <v>0.01</v>
      </c>
      <c r="F36" s="57"/>
      <c r="G36" s="57"/>
      <c r="H36" s="57"/>
      <c r="I36" s="57"/>
      <c r="J36" s="57"/>
      <c r="K36" s="57"/>
      <c r="L36" s="57"/>
      <c r="M36" s="57"/>
      <c r="N36" s="176">
        <v>0.01</v>
      </c>
      <c r="O36" s="58"/>
    </row>
    <row r="37" spans="1:15" ht="12.75">
      <c r="A37" s="40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176">
        <v>0.1</v>
      </c>
      <c r="O37" s="58"/>
    </row>
    <row r="38" spans="1:15" ht="12.75">
      <c r="A38" s="140" t="s">
        <v>95</v>
      </c>
      <c r="B38" s="57"/>
      <c r="C38" s="57"/>
      <c r="D38" s="57"/>
      <c r="E38" s="50" t="s">
        <v>96</v>
      </c>
      <c r="F38" s="67"/>
      <c r="G38" s="50" t="s">
        <v>97</v>
      </c>
      <c r="H38" s="57"/>
      <c r="I38" s="57"/>
      <c r="J38" s="57"/>
      <c r="K38" s="57"/>
      <c r="L38" s="57"/>
      <c r="M38" s="57"/>
      <c r="N38" s="176">
        <v>0.3</v>
      </c>
      <c r="O38" s="58"/>
    </row>
    <row r="39" spans="1:15" ht="12.75">
      <c r="A39" s="141" t="s">
        <v>100</v>
      </c>
      <c r="B39" s="57"/>
      <c r="C39" s="57"/>
      <c r="D39" s="57"/>
      <c r="E39" s="166">
        <f>+'Bepaling samenstelling'!R22</f>
        <v>0.26666666666666666</v>
      </c>
      <c r="F39" s="57"/>
      <c r="G39" s="166">
        <f>+'Bepaling samenstelling'!R23</f>
        <v>0.3333333333333333</v>
      </c>
      <c r="H39" s="57"/>
      <c r="I39" s="57"/>
      <c r="J39" s="57"/>
      <c r="K39" s="57"/>
      <c r="L39" s="57"/>
      <c r="M39" s="57"/>
      <c r="N39" s="57"/>
      <c r="O39" s="58"/>
    </row>
    <row r="40" spans="1:15" ht="12.75">
      <c r="A40" s="12" t="s">
        <v>49</v>
      </c>
      <c r="B40" s="57"/>
      <c r="C40" s="57"/>
      <c r="D40" s="57"/>
      <c r="E40" s="166">
        <f>+'Bepaling samenstelling'!G61</f>
        <v>0.1</v>
      </c>
      <c r="F40" s="57"/>
      <c r="G40" s="166">
        <f>+'Bepaling samenstelling'!I61</f>
        <v>1</v>
      </c>
      <c r="H40" s="57"/>
      <c r="I40" s="57"/>
      <c r="J40" s="57"/>
      <c r="K40" s="57"/>
      <c r="L40" s="57"/>
      <c r="M40" s="57"/>
      <c r="N40" s="57"/>
      <c r="O40" s="58"/>
    </row>
    <row r="41" spans="1:15" ht="12.75">
      <c r="A41" s="40" t="s">
        <v>94</v>
      </c>
      <c r="B41" s="57"/>
      <c r="C41" s="57"/>
      <c r="D41" s="57"/>
      <c r="E41" s="156">
        <v>1</v>
      </c>
      <c r="F41" s="57"/>
      <c r="G41" s="156">
        <v>1</v>
      </c>
      <c r="H41" s="57"/>
      <c r="I41" s="57"/>
      <c r="J41" s="57"/>
      <c r="K41" s="57"/>
      <c r="L41" s="57"/>
      <c r="M41" s="57"/>
      <c r="N41" s="57"/>
      <c r="O41" s="58"/>
    </row>
    <row r="42" spans="1:15" ht="12.75">
      <c r="A42" s="40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8"/>
    </row>
    <row r="43" spans="1:15" ht="12.75">
      <c r="A43" s="40"/>
      <c r="B43" s="57"/>
      <c r="C43" s="57"/>
      <c r="D43" s="63" t="s">
        <v>99</v>
      </c>
      <c r="E43" s="134">
        <f>+E41*$E35+(1-E41)*$E36</f>
        <v>0.1</v>
      </c>
      <c r="F43" s="57"/>
      <c r="G43" s="134">
        <f>+G41*$E35+(1-G41)*$E36</f>
        <v>0.1</v>
      </c>
      <c r="H43" s="57"/>
      <c r="I43" s="57"/>
      <c r="J43" s="57"/>
      <c r="K43" s="57"/>
      <c r="L43" s="57"/>
      <c r="M43" s="57"/>
      <c r="N43" s="57"/>
      <c r="O43" s="58"/>
    </row>
    <row r="44" spans="1:15" ht="12.75">
      <c r="A44" s="29"/>
      <c r="B44" s="28"/>
      <c r="C44" s="28"/>
      <c r="D44" s="28"/>
      <c r="E44" s="28" t="s">
        <v>17</v>
      </c>
      <c r="F44" s="28"/>
      <c r="G44" s="28" t="s">
        <v>17</v>
      </c>
      <c r="H44" s="28"/>
      <c r="I44" s="28" t="s">
        <v>17</v>
      </c>
      <c r="J44" s="28"/>
      <c r="K44" s="28" t="s">
        <v>17</v>
      </c>
      <c r="L44" s="28"/>
      <c r="M44" s="8" t="s">
        <v>17</v>
      </c>
      <c r="N44" s="8"/>
      <c r="O44" s="9"/>
    </row>
    <row r="45" spans="1:15" ht="12.75">
      <c r="A45" s="14" t="s">
        <v>18</v>
      </c>
      <c r="B45" s="15" t="s">
        <v>19</v>
      </c>
      <c r="C45" s="16" t="s">
        <v>20</v>
      </c>
      <c r="D45" s="8"/>
      <c r="E45" s="17" t="s">
        <v>21</v>
      </c>
      <c r="F45" s="18"/>
      <c r="G45" s="19" t="s">
        <v>22</v>
      </c>
      <c r="H45" s="18"/>
      <c r="I45" s="19" t="s">
        <v>23</v>
      </c>
      <c r="J45" s="18"/>
      <c r="K45" s="18" t="s">
        <v>24</v>
      </c>
      <c r="L45" s="18"/>
      <c r="M45" s="189" t="s">
        <v>25</v>
      </c>
      <c r="N45" s="190"/>
      <c r="O45" s="58"/>
    </row>
    <row r="46" spans="1:15" ht="15.75">
      <c r="A46" s="10" t="s">
        <v>26</v>
      </c>
      <c r="B46" s="23" t="s">
        <v>27</v>
      </c>
      <c r="C46" s="4" t="s">
        <v>28</v>
      </c>
      <c r="D46" s="8"/>
      <c r="E46" s="12" t="s">
        <v>29</v>
      </c>
      <c r="F46" s="8"/>
      <c r="G46" s="24" t="s">
        <v>37</v>
      </c>
      <c r="H46" s="8"/>
      <c r="I46" s="24" t="s">
        <v>22</v>
      </c>
      <c r="J46" s="8"/>
      <c r="K46" s="8"/>
      <c r="L46" s="8"/>
      <c r="M46" s="48" t="s">
        <v>46</v>
      </c>
      <c r="N46" s="48" t="s">
        <v>47</v>
      </c>
      <c r="O46" s="58"/>
    </row>
    <row r="47" spans="1:15" ht="14.25">
      <c r="A47" s="25" t="s">
        <v>38</v>
      </c>
      <c r="B47" s="26" t="s">
        <v>33</v>
      </c>
      <c r="C47" s="27" t="s">
        <v>39</v>
      </c>
      <c r="D47" s="8"/>
      <c r="E47" s="25" t="s">
        <v>34</v>
      </c>
      <c r="F47" s="8"/>
      <c r="G47" s="37" t="s">
        <v>34</v>
      </c>
      <c r="H47" s="8"/>
      <c r="I47" s="53" t="s">
        <v>34</v>
      </c>
      <c r="J47" s="8"/>
      <c r="K47" s="37"/>
      <c r="L47" s="11" t="s">
        <v>17</v>
      </c>
      <c r="M47" s="43" t="s">
        <v>34</v>
      </c>
      <c r="N47" s="43" t="s">
        <v>34</v>
      </c>
      <c r="O47" s="58"/>
    </row>
    <row r="48" spans="1:15" ht="12.75">
      <c r="A48" s="38">
        <f aca="true" t="shared" si="6" ref="A48:C54">+A20</f>
        <v>20</v>
      </c>
      <c r="B48" s="38">
        <f t="shared" si="6"/>
        <v>4</v>
      </c>
      <c r="C48" s="38">
        <f t="shared" si="6"/>
        <v>3600</v>
      </c>
      <c r="D48" s="8"/>
      <c r="E48" s="54">
        <f>+E20</f>
        <v>0.8</v>
      </c>
      <c r="F48" s="55" t="s">
        <v>17</v>
      </c>
      <c r="G48" s="55">
        <f>+G20</f>
        <v>0.8600848533847955</v>
      </c>
      <c r="H48" s="18"/>
      <c r="I48" s="55">
        <f>+I20</f>
        <v>0.8</v>
      </c>
      <c r="J48" s="18"/>
      <c r="K48" s="55" t="str">
        <f>+K20</f>
        <v>oppervlakte beperkt</v>
      </c>
      <c r="L48" s="18"/>
      <c r="M48" s="64">
        <f aca="true" t="shared" si="7" ref="M48:M56">+I48*E$39*E$43*E$40</f>
        <v>0.002133333333333334</v>
      </c>
      <c r="N48" s="64">
        <f aca="true" t="shared" si="8" ref="N48:N56">+I48*G$39*G$43*G$40</f>
        <v>0.02666666666666667</v>
      </c>
      <c r="O48" s="58"/>
    </row>
    <row r="49" spans="1:15" ht="12.75">
      <c r="A49" s="38">
        <f t="shared" si="6"/>
        <v>50</v>
      </c>
      <c r="B49" s="38">
        <f t="shared" si="6"/>
        <v>4</v>
      </c>
      <c r="C49" s="38">
        <f t="shared" si="6"/>
        <v>3600</v>
      </c>
      <c r="D49" s="8"/>
      <c r="E49" s="45">
        <f aca="true" t="shared" si="9" ref="E49:E56">+E21</f>
        <v>2</v>
      </c>
      <c r="F49" s="13" t="s">
        <v>17</v>
      </c>
      <c r="G49" s="13">
        <f aca="true" t="shared" si="10" ref="G49:G56">+G21</f>
        <v>0.8600848533847955</v>
      </c>
      <c r="H49" s="8"/>
      <c r="I49" s="13">
        <f aca="true" t="shared" si="11" ref="I49:I56">+I21</f>
        <v>0.8600848533847955</v>
      </c>
      <c r="J49" s="8"/>
      <c r="K49" s="13" t="str">
        <f aca="true" t="shared" si="12" ref="K49:K56">+K21</f>
        <v>zuurstof beperkt</v>
      </c>
      <c r="L49" s="8"/>
      <c r="M49" s="64">
        <f t="shared" si="7"/>
        <v>0.0022935596090261213</v>
      </c>
      <c r="N49" s="64">
        <f t="shared" si="8"/>
        <v>0.028669495112826515</v>
      </c>
      <c r="O49" s="58"/>
    </row>
    <row r="50" spans="1:15" ht="12.75">
      <c r="A50" s="38">
        <f t="shared" si="6"/>
        <v>100</v>
      </c>
      <c r="B50" s="38">
        <f t="shared" si="6"/>
        <v>4</v>
      </c>
      <c r="C50" s="38">
        <f t="shared" si="6"/>
        <v>3600</v>
      </c>
      <c r="D50" s="8"/>
      <c r="E50" s="45">
        <f t="shared" si="9"/>
        <v>4</v>
      </c>
      <c r="F50" s="13" t="s">
        <v>17</v>
      </c>
      <c r="G50" s="13">
        <f t="shared" si="10"/>
        <v>0.8600848533847955</v>
      </c>
      <c r="H50" s="8"/>
      <c r="I50" s="13">
        <f t="shared" si="11"/>
        <v>0.8600848533847955</v>
      </c>
      <c r="J50" s="8"/>
      <c r="K50" s="13" t="str">
        <f t="shared" si="12"/>
        <v>zuurstof beperkt</v>
      </c>
      <c r="L50" s="8"/>
      <c r="M50" s="64">
        <f t="shared" si="7"/>
        <v>0.0022935596090261213</v>
      </c>
      <c r="N50" s="64">
        <f t="shared" si="8"/>
        <v>0.028669495112826515</v>
      </c>
      <c r="O50" s="58"/>
    </row>
    <row r="51" spans="1:15" ht="12.75">
      <c r="A51" s="38">
        <f t="shared" si="6"/>
        <v>300</v>
      </c>
      <c r="B51" s="38">
        <f t="shared" si="6"/>
        <v>4</v>
      </c>
      <c r="C51" s="38">
        <f t="shared" si="6"/>
        <v>3600</v>
      </c>
      <c r="D51" s="8"/>
      <c r="E51" s="45">
        <f t="shared" si="9"/>
        <v>12</v>
      </c>
      <c r="F51" s="13" t="s">
        <v>17</v>
      </c>
      <c r="G51" s="13">
        <f t="shared" si="10"/>
        <v>0.8600848533847955</v>
      </c>
      <c r="H51" s="8"/>
      <c r="I51" s="13">
        <f t="shared" si="11"/>
        <v>0.8600848533847955</v>
      </c>
      <c r="J51" s="8"/>
      <c r="K51" s="13" t="str">
        <f t="shared" si="12"/>
        <v>zuurstof beperkt</v>
      </c>
      <c r="L51" s="8"/>
      <c r="M51" s="64">
        <f t="shared" si="7"/>
        <v>0.0022935596090261213</v>
      </c>
      <c r="N51" s="64">
        <f t="shared" si="8"/>
        <v>0.028669495112826515</v>
      </c>
      <c r="O51" s="58"/>
    </row>
    <row r="52" spans="1:15" ht="12.75">
      <c r="A52" s="38">
        <f t="shared" si="6"/>
        <v>20</v>
      </c>
      <c r="B52" s="38">
        <f t="shared" si="6"/>
        <v>1000</v>
      </c>
      <c r="C52" s="38">
        <f t="shared" si="6"/>
        <v>3600</v>
      </c>
      <c r="D52" s="8"/>
      <c r="E52" s="45">
        <f t="shared" si="9"/>
        <v>0.8</v>
      </c>
      <c r="F52" s="13" t="s">
        <v>17</v>
      </c>
      <c r="G52" s="13">
        <f t="shared" si="10"/>
        <v>143.63417051526085</v>
      </c>
      <c r="H52" s="8"/>
      <c r="I52" s="13">
        <f t="shared" si="11"/>
        <v>0.8</v>
      </c>
      <c r="J52" s="8"/>
      <c r="K52" s="13" t="str">
        <f t="shared" si="12"/>
        <v>oppervlakte beperkt</v>
      </c>
      <c r="L52" s="8"/>
      <c r="M52" s="64">
        <f t="shared" si="7"/>
        <v>0.002133333333333334</v>
      </c>
      <c r="N52" s="64">
        <f t="shared" si="8"/>
        <v>0.02666666666666667</v>
      </c>
      <c r="O52" s="58"/>
    </row>
    <row r="53" spans="1:15" ht="12.75">
      <c r="A53" s="38">
        <f t="shared" si="6"/>
        <v>50</v>
      </c>
      <c r="B53" s="38">
        <f t="shared" si="6"/>
        <v>1000</v>
      </c>
      <c r="C53" s="38">
        <f t="shared" si="6"/>
        <v>3600</v>
      </c>
      <c r="D53" s="8"/>
      <c r="E53" s="45">
        <f t="shared" si="9"/>
        <v>2</v>
      </c>
      <c r="F53" s="13" t="s">
        <v>17</v>
      </c>
      <c r="G53" s="13">
        <f t="shared" si="10"/>
        <v>143.63417051526085</v>
      </c>
      <c r="H53" s="8"/>
      <c r="I53" s="13">
        <f t="shared" si="11"/>
        <v>2</v>
      </c>
      <c r="J53" s="8"/>
      <c r="K53" s="13" t="str">
        <f t="shared" si="12"/>
        <v>oppervlakte beperkt</v>
      </c>
      <c r="L53" s="8"/>
      <c r="M53" s="64">
        <f t="shared" si="7"/>
        <v>0.005333333333333334</v>
      </c>
      <c r="N53" s="64">
        <f t="shared" si="8"/>
        <v>0.06666666666666667</v>
      </c>
      <c r="O53" s="58"/>
    </row>
    <row r="54" spans="1:15" ht="12.75">
      <c r="A54" s="38">
        <f t="shared" si="6"/>
        <v>100</v>
      </c>
      <c r="B54" s="38">
        <f t="shared" si="6"/>
        <v>1000</v>
      </c>
      <c r="C54" s="38">
        <f t="shared" si="6"/>
        <v>3600</v>
      </c>
      <c r="D54" s="8"/>
      <c r="E54" s="45">
        <f t="shared" si="9"/>
        <v>4</v>
      </c>
      <c r="F54" s="13" t="s">
        <v>17</v>
      </c>
      <c r="G54" s="13">
        <f t="shared" si="10"/>
        <v>143.63417051526085</v>
      </c>
      <c r="H54" s="8"/>
      <c r="I54" s="13">
        <f t="shared" si="11"/>
        <v>4</v>
      </c>
      <c r="J54" s="8"/>
      <c r="K54" s="13" t="str">
        <f t="shared" si="12"/>
        <v>oppervlakte beperkt</v>
      </c>
      <c r="L54" s="8"/>
      <c r="M54" s="64">
        <f t="shared" si="7"/>
        <v>0.010666666666666668</v>
      </c>
      <c r="N54" s="64">
        <f t="shared" si="8"/>
        <v>0.13333333333333333</v>
      </c>
      <c r="O54" s="58"/>
    </row>
    <row r="55" spans="1:15" ht="12.75">
      <c r="A55" s="38">
        <f aca="true" t="shared" si="13" ref="A55:C56">+A27</f>
        <v>300</v>
      </c>
      <c r="B55" s="38">
        <f t="shared" si="13"/>
        <v>1000</v>
      </c>
      <c r="C55" s="38">
        <f t="shared" si="13"/>
        <v>3600</v>
      </c>
      <c r="D55" s="8"/>
      <c r="E55" s="45">
        <f t="shared" si="9"/>
        <v>12</v>
      </c>
      <c r="F55" s="13" t="s">
        <v>17</v>
      </c>
      <c r="G55" s="13">
        <f t="shared" si="10"/>
        <v>143.63417051526085</v>
      </c>
      <c r="H55" s="8"/>
      <c r="I55" s="13">
        <f t="shared" si="11"/>
        <v>12</v>
      </c>
      <c r="J55" s="8"/>
      <c r="K55" s="13" t="str">
        <f t="shared" si="12"/>
        <v>oppervlakte beperkt</v>
      </c>
      <c r="L55" s="8"/>
      <c r="M55" s="64">
        <f t="shared" si="7"/>
        <v>0.03200000000000001</v>
      </c>
      <c r="N55" s="64">
        <f t="shared" si="8"/>
        <v>0.4</v>
      </c>
      <c r="O55" s="58"/>
    </row>
    <row r="56" spans="1:15" ht="12.75">
      <c r="A56" s="38">
        <f t="shared" si="13"/>
        <v>600</v>
      </c>
      <c r="B56" s="38">
        <f t="shared" si="13"/>
        <v>1000</v>
      </c>
      <c r="C56" s="38">
        <f t="shared" si="13"/>
        <v>3600</v>
      </c>
      <c r="D56" s="28"/>
      <c r="E56" s="46">
        <f t="shared" si="9"/>
        <v>24</v>
      </c>
      <c r="F56" s="36" t="s">
        <v>17</v>
      </c>
      <c r="G56" s="36">
        <f t="shared" si="10"/>
        <v>143.63417051526085</v>
      </c>
      <c r="H56" s="28"/>
      <c r="I56" s="36">
        <f t="shared" si="11"/>
        <v>24</v>
      </c>
      <c r="J56" s="28"/>
      <c r="K56" s="36" t="str">
        <f t="shared" si="12"/>
        <v>oppervlakte beperkt</v>
      </c>
      <c r="L56" s="28"/>
      <c r="M56" s="64">
        <f t="shared" si="7"/>
        <v>0.06400000000000002</v>
      </c>
      <c r="N56" s="64">
        <f t="shared" si="8"/>
        <v>0.8</v>
      </c>
      <c r="O56" s="58"/>
    </row>
    <row r="57" spans="1:15" ht="12.75">
      <c r="A57" s="5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1"/>
    </row>
  </sheetData>
  <sheetProtection/>
  <mergeCells count="2">
    <mergeCell ref="M45:N45"/>
    <mergeCell ref="G1:H1"/>
  </mergeCells>
  <dataValidations count="1">
    <dataValidation type="list" allowBlank="1" showInputMessage="1" showErrorMessage="1" sqref="E35">
      <formula1>$N$36:$N$38</formula1>
    </dataValidation>
  </dataValidations>
  <printOptions/>
  <pageMargins left="0.75" right="0.75" top="1" bottom="1" header="0.5" footer="0.5"/>
  <pageSetup fitToHeight="1" fitToWidth="1" horizontalDpi="600" verticalDpi="600" orientation="landscape" scale="61" r:id="rId4"/>
  <headerFooter alignWithMargins="0">
    <oddHeader>&amp;C&amp;"Arial,Regular"&amp;A</oddHeader>
    <oddFooter>&amp;L&amp;"Arial,Regular"RIVM / Centrum Externe Veiligheid&amp;C&amp;"Arial,Regular"24 juli 2008&amp;R&amp;"Arial,Regular"Page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riedstrd</dc:creator>
  <cp:keywords/>
  <dc:description/>
  <cp:lastModifiedBy>Margreet Spoelstra</cp:lastModifiedBy>
  <cp:lastPrinted>2009-01-15T16:05:23Z</cp:lastPrinted>
  <dcterms:created xsi:type="dcterms:W3CDTF">2008-06-03T09:27:14Z</dcterms:created>
  <dcterms:modified xsi:type="dcterms:W3CDTF">2013-11-08T21:15:16Z</dcterms:modified>
  <cp:category/>
  <cp:version/>
  <cp:contentType/>
  <cp:contentStatus/>
</cp:coreProperties>
</file>